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22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HYPERLINK("https://dl.dropboxusercontent.com/scl/fi/g1tag6u16o3ih6600dx3t/screenshot-2024-07-24-at-7.31.51pm.png?rlkey=7kd81oszvwhylgs0o8rxxsymz&amp;dl=0","Click to download Image")</f>
      </c>
      <c r="C2" s="0" t="inlineStr">
        <is>
          <t>Pacific Quilted Sling Bag</t>
        </is>
      </c>
      <c r="D2" s="1">
        <v>141400</v>
      </c>
      <c r="E2" s="0" t="inlineStr">
        <is>
          <t>IOWA PACIFI BK:141400</t>
        </is>
      </c>
      <c r="F2" s="2">
        <v>900141400014</v>
      </c>
      <c r="I2" s="0">
        <v>49.99</v>
      </c>
      <c r="J2" s="0">
        <v>38</v>
      </c>
    </row>
    <row r="3" spans="1:10" customHeight="0">
      <c r="A3" s="0">
        <f>HYPERLINK("https://dl.dropboxusercontent.com/scl/fi/2n048kp5tdlfhowbw2uuq/austin-139233-af.jpg?rlkey=bbk991282e79gji6fq2p2okl5&amp;dl=0","Click to download Image")</f>
      </c>
      <c r="C3" s="0" t="inlineStr">
        <is>
          <t>Austin Men's Cap</t>
        </is>
      </c>
      <c r="D3" s="1">
        <v>139233</v>
      </c>
      <c r="E3" s="0" t="inlineStr">
        <is>
          <t>IOWA AUSTIN A BK:139233</t>
        </is>
      </c>
      <c r="F3" s="2">
        <v>700139233002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87</v>
      </c>
    </row>
    <row r="4" spans="1:10" customHeight="0">
      <c r="A4" s="0">
        <f>HYPERLINK("https://dl.dropboxusercontent.com/scl/fi/u2qc9fz76g5pyudknj98d/liza-141492-tn.jpg?rlkey=tigomfx7i79r4ban9jeigjp3a&amp;dl=0","Click to download Image")</f>
      </c>
      <c r="C4" s="0" t="inlineStr">
        <is>
          <t>Liza Women's Ponytail Cap</t>
        </is>
      </c>
      <c r="D4" s="1">
        <v>141492</v>
      </c>
      <c r="E4" s="0" t="inlineStr">
        <is>
          <t>IOWA LIZA A BK:141492</t>
        </is>
      </c>
      <c r="F4" s="2">
        <v>700141492015</v>
      </c>
      <c r="G4" s="0" t="inlineStr">
        <is>
          <t>WOMENS</t>
        </is>
      </c>
      <c r="H4" s="0" t="inlineStr">
        <is>
          <t>WOMENS</t>
        </is>
      </c>
      <c r="I4" s="0">
        <v>29.99</v>
      </c>
      <c r="J4" s="0">
        <v>20</v>
      </c>
    </row>
    <row r="5" spans="1:10" customHeight="0">
      <c r="A5" s="0">
        <f>HYPERLINK("https://dl.dropboxusercontent.com/scl/fi/t6jn5d8q3ssd47fm9tgrz/142375-theo-tn.jpg?rlkey=lofzkz9564i7ohab25zc4jtld&amp;dl=0","Click to download Image")</f>
      </c>
      <c r="B5" s="0">
        <f>HYPERLINK("https://dl.dropboxusercontent.com/scl/fi/06i8cqvbzq99fujevxybd/mens-hoodie-size-chartstheo.jpg?rlkey=vleh245py0f5hw06i0b9k9b50&amp;dl=0","Click to download SizeChart")</f>
      </c>
      <c r="C5" s="0" t="inlineStr">
        <is>
          <t>Theo Men's Lightweight Hoodie</t>
        </is>
      </c>
      <c r="D5" s="1">
        <v>142375</v>
      </c>
      <c r="E5" s="0" t="inlineStr">
        <is>
          <t>IOWA THEO M BK:142375A-S</t>
        </is>
      </c>
      <c r="F5" s="2">
        <v>800142375048</v>
      </c>
      <c r="G5" s="0" t="inlineStr">
        <is>
          <t>MENS</t>
        </is>
      </c>
      <c r="H5" s="0" t="inlineStr">
        <is>
          <t>S</t>
        </is>
      </c>
      <c r="I5" s="0">
        <v>54.99</v>
      </c>
      <c r="J5" s="0">
        <v>0</v>
      </c>
    </row>
    <row r="6" spans="1:10" customHeight="0">
      <c r="A6" s="0">
        <f>HYPERLINK("https://dl.dropboxusercontent.com/scl/fi/t6jn5d8q3ssd47fm9tgrz/142375-theo-tn.jpg?rlkey=lofzkz9564i7ohab25zc4jtld&amp;dl=0","Click to download Image")</f>
      </c>
      <c r="B6" s="0">
        <f>HYPERLINK("https://dl.dropboxusercontent.com/scl/fi/06i8cqvbzq99fujevxybd/mens-hoodie-size-chartstheo.jpg?rlkey=vleh245py0f5hw06i0b9k9b50&amp;dl=0","Click to download SizeChart")</f>
      </c>
      <c r="C6" s="0" t="inlineStr">
        <is>
          <t>Theo Men's Lightweight Hoodie</t>
        </is>
      </c>
      <c r="D6" s="1">
        <v>142375</v>
      </c>
      <c r="E6" s="0" t="inlineStr">
        <is>
          <t>IOWA THEO M BK:142375B-M</t>
        </is>
      </c>
      <c r="F6" s="2">
        <v>800142375055</v>
      </c>
      <c r="G6" s="0" t="inlineStr">
        <is>
          <t>MENS</t>
        </is>
      </c>
      <c r="H6" s="0" t="inlineStr">
        <is>
          <t>M</t>
        </is>
      </c>
      <c r="I6" s="0">
        <v>54.99</v>
      </c>
      <c r="J6" s="0">
        <v>1</v>
      </c>
    </row>
    <row r="7" spans="1:10" customHeight="0">
      <c r="A7" s="0">
        <f>HYPERLINK("https://dl.dropboxusercontent.com/scl/fi/t6jn5d8q3ssd47fm9tgrz/142375-theo-tn.jpg?rlkey=lofzkz9564i7ohab25zc4jtld&amp;dl=0","Click to download Image")</f>
      </c>
      <c r="B7" s="0">
        <f>HYPERLINK("https://dl.dropboxusercontent.com/scl/fi/06i8cqvbzq99fujevxybd/mens-hoodie-size-chartstheo.jpg?rlkey=vleh245py0f5hw06i0b9k9b50&amp;dl=0","Click to download SizeChart")</f>
      </c>
      <c r="C7" s="0" t="inlineStr">
        <is>
          <t>Theo Men's Lightweight Hoodie</t>
        </is>
      </c>
      <c r="D7" s="1">
        <v>142375</v>
      </c>
      <c r="E7" s="0" t="inlineStr">
        <is>
          <t>IOWA THEO M BK:142375C-L</t>
        </is>
      </c>
      <c r="F7" s="2">
        <v>800142375062</v>
      </c>
      <c r="G7" s="0" t="inlineStr">
        <is>
          <t>MENS</t>
        </is>
      </c>
      <c r="H7" s="0" t="inlineStr">
        <is>
          <t>L</t>
        </is>
      </c>
      <c r="I7" s="0">
        <v>54.99</v>
      </c>
      <c r="J7" s="0">
        <v>0</v>
      </c>
    </row>
    <row r="8" spans="1:10" customHeight="0">
      <c r="A8" s="0">
        <f>HYPERLINK("https://dl.dropboxusercontent.com/scl/fi/t6jn5d8q3ssd47fm9tgrz/142375-theo-tn.jpg?rlkey=lofzkz9564i7ohab25zc4jtld&amp;dl=0","Click to download Image")</f>
      </c>
      <c r="B8" s="0">
        <f>HYPERLINK("https://dl.dropboxusercontent.com/scl/fi/06i8cqvbzq99fujevxybd/mens-hoodie-size-chartstheo.jpg?rlkey=vleh245py0f5hw06i0b9k9b50&amp;dl=0","Click to download SizeChart")</f>
      </c>
      <c r="C8" s="0" t="inlineStr">
        <is>
          <t>Theo Men's Lightweight Hoodie</t>
        </is>
      </c>
      <c r="D8" s="1">
        <v>142375</v>
      </c>
      <c r="E8" s="0" t="inlineStr">
        <is>
          <t>IOWA THEO M BK:142375D-XL</t>
        </is>
      </c>
      <c r="F8" s="2">
        <v>800142375079</v>
      </c>
      <c r="G8" s="0" t="inlineStr">
        <is>
          <t>MENS</t>
        </is>
      </c>
      <c r="H8" s="0" t="inlineStr">
        <is>
          <t>XL</t>
        </is>
      </c>
      <c r="I8" s="0">
        <v>54.99</v>
      </c>
      <c r="J8" s="0">
        <v>0</v>
      </c>
    </row>
    <row r="9" spans="1:10" customHeight="0">
      <c r="A9" s="0">
        <f>HYPERLINK("https://dl.dropboxusercontent.com/scl/fi/t6jn5d8q3ssd47fm9tgrz/142375-theo-tn.jpg?rlkey=lofzkz9564i7ohab25zc4jtld&amp;dl=0","Click to download Image")</f>
      </c>
      <c r="B9" s="0">
        <f>HYPERLINK("https://dl.dropboxusercontent.com/scl/fi/06i8cqvbzq99fujevxybd/mens-hoodie-size-chartstheo.jpg?rlkey=vleh245py0f5hw06i0b9k9b50&amp;dl=0","Click to download SizeChart")</f>
      </c>
      <c r="C9" s="0" t="inlineStr">
        <is>
          <t>Theo Men's Lightweight Hoodie</t>
        </is>
      </c>
      <c r="D9" s="1">
        <v>142375</v>
      </c>
      <c r="E9" s="0" t="inlineStr">
        <is>
          <t>IOWA THEO M BK:142375E-2XL</t>
        </is>
      </c>
      <c r="F9" s="2">
        <v>800142375086</v>
      </c>
      <c r="G9" s="0" t="inlineStr">
        <is>
          <t>MENS</t>
        </is>
      </c>
      <c r="H9" s="0" t="inlineStr">
        <is>
          <t>2XL</t>
        </is>
      </c>
      <c r="I9" s="0">
        <v>54.99</v>
      </c>
      <c r="J9" s="0">
        <v>0</v>
      </c>
    </row>
    <row r="10" spans="1:10" customHeight="0">
      <c r="A10" s="0">
        <f>HYPERLINK("https://dl.dropboxusercontent.com/scl/fi/t6jn5d8q3ssd47fm9tgrz/142375-theo-tn.jpg?rlkey=lofzkz9564i7ohab25zc4jtld&amp;dl=0","Click to download Image")</f>
      </c>
      <c r="B10" s="0">
        <f>HYPERLINK("https://dl.dropboxusercontent.com/scl/fi/06i8cqvbzq99fujevxybd/mens-hoodie-size-chartstheo.jpg?rlkey=vleh245py0f5hw06i0b9k9b50&amp;dl=0","Click to download SizeChart")</f>
      </c>
      <c r="C10" s="0" t="inlineStr">
        <is>
          <t>Theo Men's Lightweight Hoodie</t>
        </is>
      </c>
      <c r="D10" s="1">
        <v>142375</v>
      </c>
      <c r="E10" s="0" t="inlineStr">
        <is>
          <t>IOWA THEO M BK:142375F-3XL</t>
        </is>
      </c>
      <c r="F10" s="2">
        <v>800142375093</v>
      </c>
      <c r="G10" s="0" t="inlineStr">
        <is>
          <t>MENS</t>
        </is>
      </c>
      <c r="H10" s="0" t="inlineStr">
        <is>
          <t>3XL</t>
        </is>
      </c>
      <c r="I10" s="0">
        <v>54.99</v>
      </c>
      <c r="J10" s="0">
        <v>0</v>
      </c>
    </row>
    <row r="11" spans="1:10" customHeight="0">
      <c r="A11" s="0">
        <f>HYPERLINK("https://dl.dropboxusercontent.com/scl/fi/t6jn5d8q3ssd47fm9tgrz/142375-theo-tn.jpg?rlkey=lofzkz9564i7ohab25zc4jtld&amp;dl=0","Click to download Image")</f>
      </c>
      <c r="B11" s="0">
        <f>HYPERLINK("https://dl.dropboxusercontent.com/scl/fi/06i8cqvbzq99fujevxybd/mens-hoodie-size-chartstheo.jpg?rlkey=vleh245py0f5hw06i0b9k9b50&amp;dl=0","Click to download SizeChart")</f>
      </c>
      <c r="C11" s="0" t="inlineStr">
        <is>
          <t>Theo Men's Lightweight Hoodie</t>
        </is>
      </c>
      <c r="D11" s="1">
        <v>142375</v>
      </c>
      <c r="E11" s="0" t="inlineStr">
        <is>
          <t>IOWA THEO M BK:142375Z-12PK</t>
        </is>
      </c>
      <c r="F11" s="2">
        <v>800142375994</v>
      </c>
      <c r="G11" s="0" t="inlineStr">
        <is>
          <t>MENS</t>
        </is>
      </c>
      <c r="H11" s="0" t="inlineStr">
        <is>
          <t>12 PACK</t>
        </is>
      </c>
      <c r="I11" s="0">
        <v>534</v>
      </c>
      <c r="J11" s="0">
        <v>0</v>
      </c>
    </row>
    <row r="12" spans="1:10" customHeight="0">
      <c r="A12" s="0">
        <f>HYPERLINK("https://dl.dropboxusercontent.com/scl/fi/svh28m2qx4an31uzlhiet/115094-f.jpg?rlkey=1qazhkwsfsnxdrr2i1xuzzl0c&amp;dl=0","Click to download Image")</f>
      </c>
      <c r="B12" s="0">
        <f>HYPERLINK("https://dl.dropboxusercontent.com/scl/fi/p7lq5vpb2dv5vxh7u5hyp/infant-size-charts-2023jupiter.jpg?rlkey=myuct2pjbm29d7se9g7jlwt2j&amp;dl=0","Click to download SizeChart")</f>
      </c>
      <c r="C12" s="0" t="inlineStr">
        <is>
          <t>Jupiter Infant Bodysuit</t>
        </is>
      </c>
      <c r="D12" s="1">
        <v>115094</v>
      </c>
      <c r="E12" s="0" t="inlineStr">
        <is>
          <t>IOWA JUPITER I WHITE:115094A - 0-3M</t>
        </is>
      </c>
      <c r="G12" s="0" t="inlineStr">
        <is>
          <t>INFANT</t>
        </is>
      </c>
      <c r="H12" s="0" t="inlineStr">
        <is>
          <t>0-3M</t>
        </is>
      </c>
      <c r="I12" s="0">
        <v>29.99</v>
      </c>
      <c r="J12" s="0">
        <v>0</v>
      </c>
    </row>
    <row r="13" spans="1:10" customHeight="0">
      <c r="A13" s="0">
        <f>HYPERLINK("https://dl.dropboxusercontent.com/scl/fi/svh28m2qx4an31uzlhiet/115094-f.jpg?rlkey=1qazhkwsfsnxdrr2i1xuzzl0c&amp;dl=0","Click to download Image")</f>
      </c>
      <c r="B13" s="0">
        <f>HYPERLINK("https://dl.dropboxusercontent.com/scl/fi/p7lq5vpb2dv5vxh7u5hyp/infant-size-charts-2023jupiter.jpg?rlkey=myuct2pjbm29d7se9g7jlwt2j&amp;dl=0","Click to download SizeChart")</f>
      </c>
      <c r="C13" s="0" t="inlineStr">
        <is>
          <t>Jupiter Infant Bodysuit</t>
        </is>
      </c>
      <c r="D13" s="1">
        <v>115094</v>
      </c>
      <c r="E13" s="0" t="inlineStr">
        <is>
          <t>IOWA JUPITER I WHITE:115094B - 3-6M</t>
        </is>
      </c>
      <c r="G13" s="0" t="inlineStr">
        <is>
          <t>INFANT</t>
        </is>
      </c>
      <c r="H13" s="0" t="inlineStr">
        <is>
          <t>3-6M</t>
        </is>
      </c>
      <c r="I13" s="0">
        <v>29.99</v>
      </c>
      <c r="J13" s="0">
        <v>9</v>
      </c>
    </row>
    <row r="14" spans="1:10" customHeight="0">
      <c r="A14" s="0">
        <f>HYPERLINK("https://dl.dropboxusercontent.com/scl/fi/svh28m2qx4an31uzlhiet/115094-f.jpg?rlkey=1qazhkwsfsnxdrr2i1xuzzl0c&amp;dl=0","Click to download Image")</f>
      </c>
      <c r="B14" s="0">
        <f>HYPERLINK("https://dl.dropboxusercontent.com/scl/fi/p7lq5vpb2dv5vxh7u5hyp/infant-size-charts-2023jupiter.jpg?rlkey=myuct2pjbm29d7se9g7jlwt2j&amp;dl=0","Click to download SizeChart")</f>
      </c>
      <c r="C14" s="0" t="inlineStr">
        <is>
          <t>Jupiter Infant Bodysuit</t>
        </is>
      </c>
      <c r="D14" s="1">
        <v>115094</v>
      </c>
      <c r="E14" s="0" t="inlineStr">
        <is>
          <t>IOWA JUPITER I WHITE:115094C - 6-9M</t>
        </is>
      </c>
      <c r="G14" s="0" t="inlineStr">
        <is>
          <t>INFANT</t>
        </is>
      </c>
      <c r="H14" s="0" t="inlineStr">
        <is>
          <t>6-9M</t>
        </is>
      </c>
      <c r="I14" s="0">
        <v>29.99</v>
      </c>
      <c r="J14" s="0">
        <v>9</v>
      </c>
    </row>
    <row r="15" spans="1:10" customHeight="0">
      <c r="A15" s="0">
        <f>HYPERLINK("https://dl.dropboxusercontent.com/scl/fi/svh28m2qx4an31uzlhiet/115094-f.jpg?rlkey=1qazhkwsfsnxdrr2i1xuzzl0c&amp;dl=0","Click to download Image")</f>
      </c>
      <c r="B15" s="0">
        <f>HYPERLINK("https://dl.dropboxusercontent.com/scl/fi/p7lq5vpb2dv5vxh7u5hyp/infant-size-charts-2023jupiter.jpg?rlkey=myuct2pjbm29d7se9g7jlwt2j&amp;dl=0","Click to download SizeChart")</f>
      </c>
      <c r="C15" s="0" t="inlineStr">
        <is>
          <t>Jupiter Infant Bodysuit</t>
        </is>
      </c>
      <c r="D15" s="1">
        <v>115094</v>
      </c>
      <c r="E15" s="0" t="inlineStr">
        <is>
          <t>IOWA JUPITER I WHITE:115094F - 12M</t>
        </is>
      </c>
      <c r="G15" s="0" t="inlineStr">
        <is>
          <t>INFANT</t>
        </is>
      </c>
      <c r="H15" s="0" t="inlineStr">
        <is>
          <t>12M</t>
        </is>
      </c>
      <c r="I15" s="0">
        <v>29.99</v>
      </c>
      <c r="J15" s="0">
        <v>2</v>
      </c>
    </row>
    <row r="16" spans="1:10" customHeight="0">
      <c r="A16" s="0">
        <f>HYPERLINK("https://dl.dropboxusercontent.com/scl/fi/svh28m2qx4an31uzlhiet/115094-f.jpg?rlkey=1qazhkwsfsnxdrr2i1xuzzl0c&amp;dl=0","Click to download Image")</f>
      </c>
      <c r="B16" s="0">
        <f>HYPERLINK("https://dl.dropboxusercontent.com/scl/fi/p7lq5vpb2dv5vxh7u5hyp/infant-size-charts-2023jupiter.jpg?rlkey=myuct2pjbm29d7se9g7jlwt2j&amp;dl=0","Click to download SizeChart")</f>
      </c>
      <c r="C16" s="0" t="inlineStr">
        <is>
          <t>Jupiter Infant Bodysuit</t>
        </is>
      </c>
      <c r="D16" s="1">
        <v>115094</v>
      </c>
      <c r="E16" s="0" t="inlineStr">
        <is>
          <t>IOWA JUPITER I WHITE 12 PACK (115094)</t>
        </is>
      </c>
      <c r="G16" s="0" t="inlineStr">
        <is>
          <t>INFANT</t>
        </is>
      </c>
      <c r="H16" s="0" t="inlineStr">
        <is>
          <t>12 PACK</t>
        </is>
      </c>
      <c r="I16" s="0">
        <v>288</v>
      </c>
      <c r="J16" s="0">
        <v>0</v>
      </c>
    </row>
    <row r="17" spans="1:10" customHeight="0">
      <c r="A17" s="0">
        <f>HYPERLINK("https://dl.dropboxusercontent.com/scl/fi/t0e68uyqm41h1kcph4bjx/kody-141564-tn.jpg?rlkey=ys23fq5dlu3n5rp30x4nb8goc&amp;dl=0","Click to download Image")</f>
      </c>
      <c r="B17" s="0">
        <f>HYPERLINK("https://dl.dropboxusercontent.com/scl/fi/0dmkkhkwwmdl39zhzcyg8/infant-size-charts-2023kody.jpg?rlkey=rvleku4k4qgui5njq105uv80h&amp;dl=0","Click to download SizeChart")</f>
      </c>
      <c r="C17" s="0" t="inlineStr">
        <is>
          <t>Kody Infant Bodysuit</t>
        </is>
      </c>
      <c r="D17" s="1">
        <v>141564</v>
      </c>
      <c r="E17" s="0" t="inlineStr">
        <is>
          <t>IOWA KODY I GY:141564A-0-3M</t>
        </is>
      </c>
      <c r="F17" s="2">
        <v>800141564009</v>
      </c>
      <c r="G17" s="0" t="inlineStr">
        <is>
          <t>INFANT</t>
        </is>
      </c>
      <c r="H17" s="0" t="inlineStr">
        <is>
          <t>0-3M</t>
        </is>
      </c>
      <c r="I17" s="0">
        <v>34.99</v>
      </c>
      <c r="J17" s="0">
        <v>5</v>
      </c>
    </row>
    <row r="18" spans="1:10" customHeight="0">
      <c r="A18" s="0">
        <f>HYPERLINK("https://dl.dropboxusercontent.com/scl/fi/t0e68uyqm41h1kcph4bjx/kody-141564-tn.jpg?rlkey=ys23fq5dlu3n5rp30x4nb8goc&amp;dl=0","Click to download Image")</f>
      </c>
      <c r="B18" s="0">
        <f>HYPERLINK("https://dl.dropboxusercontent.com/scl/fi/0dmkkhkwwmdl39zhzcyg8/infant-size-charts-2023kody.jpg?rlkey=rvleku4k4qgui5njq105uv80h&amp;dl=0","Click to download SizeChart")</f>
      </c>
      <c r="C18" s="0" t="inlineStr">
        <is>
          <t>Kody Infant Bodysuit</t>
        </is>
      </c>
      <c r="D18" s="1">
        <v>141564</v>
      </c>
      <c r="E18" s="0" t="inlineStr">
        <is>
          <t>IOWA KODY I GY:141564B-3-6M</t>
        </is>
      </c>
      <c r="F18" s="2">
        <v>800141564016</v>
      </c>
      <c r="G18" s="0" t="inlineStr">
        <is>
          <t>INFANT</t>
        </is>
      </c>
      <c r="H18" s="0" t="inlineStr">
        <is>
          <t>3-6M</t>
        </is>
      </c>
      <c r="I18" s="0">
        <v>34.99</v>
      </c>
      <c r="J18" s="0">
        <v>0</v>
      </c>
    </row>
    <row r="19" spans="1:10" customHeight="0">
      <c r="A19" s="0">
        <f>HYPERLINK("https://dl.dropboxusercontent.com/scl/fi/t0e68uyqm41h1kcph4bjx/kody-141564-tn.jpg?rlkey=ys23fq5dlu3n5rp30x4nb8goc&amp;dl=0","Click to download Image")</f>
      </c>
      <c r="B19" s="0">
        <f>HYPERLINK("https://dl.dropboxusercontent.com/scl/fi/0dmkkhkwwmdl39zhzcyg8/infant-size-charts-2023kody.jpg?rlkey=rvleku4k4qgui5njq105uv80h&amp;dl=0","Click to download SizeChart")</f>
      </c>
      <c r="C19" s="0" t="inlineStr">
        <is>
          <t>Kody Infant Bodysuit</t>
        </is>
      </c>
      <c r="D19" s="1">
        <v>141564</v>
      </c>
      <c r="E19" s="0" t="inlineStr">
        <is>
          <t>IOWA KODY I GY:141564C-6-9M</t>
        </is>
      </c>
      <c r="F19" s="2">
        <v>800141564023</v>
      </c>
      <c r="G19" s="0" t="inlineStr">
        <is>
          <t>INFANT</t>
        </is>
      </c>
      <c r="H19" s="0" t="inlineStr">
        <is>
          <t>6-9M</t>
        </is>
      </c>
      <c r="I19" s="0">
        <v>34.99</v>
      </c>
      <c r="J19" s="0">
        <v>2</v>
      </c>
    </row>
    <row r="20" spans="1:10" customHeight="0">
      <c r="A20" s="0">
        <f>HYPERLINK("https://dl.dropboxusercontent.com/scl/fi/t0e68uyqm41h1kcph4bjx/kody-141564-tn.jpg?rlkey=ys23fq5dlu3n5rp30x4nb8goc&amp;dl=0","Click to download Image")</f>
      </c>
      <c r="B20" s="0">
        <f>HYPERLINK("https://dl.dropboxusercontent.com/scl/fi/0dmkkhkwwmdl39zhzcyg8/infant-size-charts-2023kody.jpg?rlkey=rvleku4k4qgui5njq105uv80h&amp;dl=0","Click to download SizeChart")</f>
      </c>
      <c r="C20" s="0" t="inlineStr">
        <is>
          <t>Kody Infant Bodysuit</t>
        </is>
      </c>
      <c r="D20" s="1">
        <v>141564</v>
      </c>
      <c r="E20" s="0" t="inlineStr">
        <is>
          <t>IOWA KODY I GY:141564F-12M</t>
        </is>
      </c>
      <c r="F20" s="2">
        <v>800141564030</v>
      </c>
      <c r="G20" s="0" t="inlineStr">
        <is>
          <t>INFANT</t>
        </is>
      </c>
      <c r="H20" s="0" t="inlineStr">
        <is>
          <t>12M</t>
        </is>
      </c>
      <c r="I20" s="0">
        <v>34.99</v>
      </c>
      <c r="J20" s="0">
        <v>6</v>
      </c>
    </row>
    <row r="21" spans="1:10" customHeight="0">
      <c r="A21" s="0">
        <f>HYPERLINK("https://dl.dropboxusercontent.com/scl/fi/t0e68uyqm41h1kcph4bjx/kody-141564-tn.jpg?rlkey=ys23fq5dlu3n5rp30x4nb8goc&amp;dl=0","Click to download Image")</f>
      </c>
      <c r="B21" s="0">
        <f>HYPERLINK("https://dl.dropboxusercontent.com/scl/fi/0dmkkhkwwmdl39zhzcyg8/infant-size-charts-2023kody.jpg?rlkey=rvleku4k4qgui5njq105uv80h&amp;dl=0","Click to download SizeChart")</f>
      </c>
      <c r="C21" s="0" t="inlineStr">
        <is>
          <t>Kody Infant Bodysuit</t>
        </is>
      </c>
      <c r="D21" s="1">
        <v>141564</v>
      </c>
      <c r="E21" s="0" t="inlineStr">
        <is>
          <t>IOWA KODY I GY:141564Z-12PK</t>
        </is>
      </c>
      <c r="F21" s="2">
        <v>800141564993</v>
      </c>
      <c r="G21" s="0" t="inlineStr">
        <is>
          <t>INFANT</t>
        </is>
      </c>
      <c r="H21" s="0" t="inlineStr">
        <is>
          <t>12 PACK</t>
        </is>
      </c>
      <c r="I21" s="0">
        <v>336</v>
      </c>
      <c r="J21" s="0">
        <v>0</v>
      </c>
    </row>
    <row r="22" spans="1:10" customHeight="0">
      <c r="A22" s="0">
        <f>HYPERLINK("https://dl.dropboxusercontent.com/scl/fi/zed3kcnlwt7k99y17k5yn/thea-142627-tn.jpg?rlkey=xzgjntuvm9aerw2ds2qsz24oh&amp;dl=0","Click to download Image")</f>
      </c>
      <c r="B22" s="0">
        <f>HYPERLINK("https://dl.dropboxusercontent.com/scl/fi/y5mts7g004schiu45b5nx/womens-hoodie-and-sweatshirt-size-chartsthea.jpg?rlkey=hp1iq65ktzfdf49tf7wkuu3ek&amp;dl=0","Click to download SizeChart")</f>
      </c>
      <c r="C22" s="0" t="inlineStr">
        <is>
          <t>Thea Women's Lightweight Hoodie</t>
        </is>
      </c>
      <c r="D22" s="1">
        <v>142627</v>
      </c>
      <c r="E22" s="0" t="inlineStr">
        <is>
          <t>IOWA THEA W BK:142627A-S</t>
        </is>
      </c>
      <c r="F22" s="2">
        <v>800142627048</v>
      </c>
      <c r="G22" s="0" t="inlineStr">
        <is>
          <t>WOMENS</t>
        </is>
      </c>
      <c r="H22" s="0" t="inlineStr">
        <is>
          <t>S</t>
        </is>
      </c>
      <c r="I22" s="0">
        <v>59.99</v>
      </c>
      <c r="J22" s="0">
        <v>2</v>
      </c>
    </row>
    <row r="23" spans="1:10" customHeight="0">
      <c r="A23" s="0">
        <f>HYPERLINK("https://dl.dropboxusercontent.com/scl/fi/zed3kcnlwt7k99y17k5yn/thea-142627-tn.jpg?rlkey=xzgjntuvm9aerw2ds2qsz24oh&amp;dl=0","Click to download Image")</f>
      </c>
      <c r="B23" s="0">
        <f>HYPERLINK("https://dl.dropboxusercontent.com/scl/fi/y5mts7g004schiu45b5nx/womens-hoodie-and-sweatshirt-size-chartsthea.jpg?rlkey=hp1iq65ktzfdf49tf7wkuu3ek&amp;dl=0","Click to download SizeChart")</f>
      </c>
      <c r="C23" s="0" t="inlineStr">
        <is>
          <t>Thea Women's Lightweight Hoodie</t>
        </is>
      </c>
      <c r="D23" s="1">
        <v>142627</v>
      </c>
      <c r="E23" s="0" t="inlineStr">
        <is>
          <t>IOWA THEA W BK:142627B-M</t>
        </is>
      </c>
      <c r="F23" s="2">
        <v>800142627055</v>
      </c>
      <c r="G23" s="0" t="inlineStr">
        <is>
          <t>WOMENS</t>
        </is>
      </c>
      <c r="H23" s="0" t="inlineStr">
        <is>
          <t>M</t>
        </is>
      </c>
      <c r="I23" s="0">
        <v>59.99</v>
      </c>
      <c r="J23" s="0">
        <v>8</v>
      </c>
    </row>
    <row r="24" spans="1:10" customHeight="0">
      <c r="A24" s="0">
        <f>HYPERLINK("https://dl.dropboxusercontent.com/scl/fi/zed3kcnlwt7k99y17k5yn/thea-142627-tn.jpg?rlkey=xzgjntuvm9aerw2ds2qsz24oh&amp;dl=0","Click to download Image")</f>
      </c>
      <c r="B24" s="0">
        <f>HYPERLINK("https://dl.dropboxusercontent.com/scl/fi/y5mts7g004schiu45b5nx/womens-hoodie-and-sweatshirt-size-chartsthea.jpg?rlkey=hp1iq65ktzfdf49tf7wkuu3ek&amp;dl=0","Click to download SizeChart")</f>
      </c>
      <c r="C24" s="0" t="inlineStr">
        <is>
          <t>Thea Women's Lightweight Hoodie</t>
        </is>
      </c>
      <c r="D24" s="1">
        <v>142627</v>
      </c>
      <c r="E24" s="0" t="inlineStr">
        <is>
          <t>IOWA THEA W BK:142627C-L</t>
        </is>
      </c>
      <c r="F24" s="2">
        <v>800142627062</v>
      </c>
      <c r="G24" s="0" t="inlineStr">
        <is>
          <t>WOMENS</t>
        </is>
      </c>
      <c r="H24" s="0" t="inlineStr">
        <is>
          <t>L</t>
        </is>
      </c>
      <c r="I24" s="0">
        <v>59.99</v>
      </c>
      <c r="J24" s="0">
        <v>8</v>
      </c>
    </row>
    <row r="25" spans="1:10" customHeight="0">
      <c r="A25" s="0">
        <f>HYPERLINK("https://dl.dropboxusercontent.com/scl/fi/zed3kcnlwt7k99y17k5yn/thea-142627-tn.jpg?rlkey=xzgjntuvm9aerw2ds2qsz24oh&amp;dl=0","Click to download Image")</f>
      </c>
      <c r="B25" s="0">
        <f>HYPERLINK("https://dl.dropboxusercontent.com/scl/fi/y5mts7g004schiu45b5nx/womens-hoodie-and-sweatshirt-size-chartsthea.jpg?rlkey=hp1iq65ktzfdf49tf7wkuu3ek&amp;dl=0","Click to download SizeChart")</f>
      </c>
      <c r="C25" s="0" t="inlineStr">
        <is>
          <t>Thea Women's Lightweight Hoodie</t>
        </is>
      </c>
      <c r="D25" s="1">
        <v>142627</v>
      </c>
      <c r="E25" s="0" t="inlineStr">
        <is>
          <t>IOWA THEA W BK:142627D-XL</t>
        </is>
      </c>
      <c r="F25" s="2">
        <v>800142627079</v>
      </c>
      <c r="G25" s="0" t="inlineStr">
        <is>
          <t>WOMENS</t>
        </is>
      </c>
      <c r="H25" s="0" t="inlineStr">
        <is>
          <t>XL</t>
        </is>
      </c>
      <c r="I25" s="0">
        <v>59.99</v>
      </c>
      <c r="J25" s="0">
        <v>0</v>
      </c>
    </row>
    <row r="26" spans="1:10" customHeight="0">
      <c r="A26" s="0">
        <f>HYPERLINK("https://dl.dropboxusercontent.com/scl/fi/zed3kcnlwt7k99y17k5yn/thea-142627-tn.jpg?rlkey=xzgjntuvm9aerw2ds2qsz24oh&amp;dl=0","Click to download Image")</f>
      </c>
      <c r="B26" s="0">
        <f>HYPERLINK("https://dl.dropboxusercontent.com/scl/fi/y5mts7g004schiu45b5nx/womens-hoodie-and-sweatshirt-size-chartsthea.jpg?rlkey=hp1iq65ktzfdf49tf7wkuu3ek&amp;dl=0","Click to download SizeChart")</f>
      </c>
      <c r="C26" s="0" t="inlineStr">
        <is>
          <t>Thea Women's Lightweight Hoodie</t>
        </is>
      </c>
      <c r="D26" s="1">
        <v>142627</v>
      </c>
      <c r="E26" s="0" t="inlineStr">
        <is>
          <t>IOWA THEA W BK:142627E-2XL</t>
        </is>
      </c>
      <c r="F26" s="2">
        <v>800142627086</v>
      </c>
      <c r="G26" s="0" t="inlineStr">
        <is>
          <t>WOMENS</t>
        </is>
      </c>
      <c r="H26" s="0" t="inlineStr">
        <is>
          <t>2XL</t>
        </is>
      </c>
      <c r="I26" s="0">
        <v>59.99</v>
      </c>
      <c r="J26" s="0">
        <v>0</v>
      </c>
    </row>
    <row r="27" spans="1:10" customHeight="0">
      <c r="A27" s="0">
        <f>HYPERLINK("https://dl.dropboxusercontent.com/scl/fi/zed3kcnlwt7k99y17k5yn/thea-142627-tn.jpg?rlkey=xzgjntuvm9aerw2ds2qsz24oh&amp;dl=0","Click to download Image")</f>
      </c>
      <c r="B27" s="0">
        <f>HYPERLINK("https://dl.dropboxusercontent.com/scl/fi/y5mts7g004schiu45b5nx/womens-hoodie-and-sweatshirt-size-chartsthea.jpg?rlkey=hp1iq65ktzfdf49tf7wkuu3ek&amp;dl=0","Click to download SizeChart")</f>
      </c>
      <c r="C27" s="0" t="inlineStr">
        <is>
          <t>Thea Women's Lightweight Hoodie</t>
        </is>
      </c>
      <c r="D27" s="1">
        <v>142627</v>
      </c>
      <c r="E27" s="0" t="inlineStr">
        <is>
          <t>IOWA THEA W BK:142627F-3XL</t>
        </is>
      </c>
      <c r="F27" s="2">
        <v>800142627093</v>
      </c>
      <c r="G27" s="0" t="inlineStr">
        <is>
          <t>WOMENS</t>
        </is>
      </c>
      <c r="H27" s="0" t="inlineStr">
        <is>
          <t>3XL</t>
        </is>
      </c>
      <c r="I27" s="0">
        <v>59.99</v>
      </c>
      <c r="J27" s="0">
        <v>2</v>
      </c>
    </row>
    <row r="28" spans="1:10" customHeight="0">
      <c r="A28" s="0">
        <f>HYPERLINK("https://dl.dropboxusercontent.com/scl/fi/zed3kcnlwt7k99y17k5yn/thea-142627-tn.jpg?rlkey=xzgjntuvm9aerw2ds2qsz24oh&amp;dl=0","Click to download Image")</f>
      </c>
      <c r="B28" s="0">
        <f>HYPERLINK("https://dl.dropboxusercontent.com/scl/fi/y5mts7g004schiu45b5nx/womens-hoodie-and-sweatshirt-size-chartsthea.jpg?rlkey=hp1iq65ktzfdf49tf7wkuu3ek&amp;dl=0","Click to download SizeChart")</f>
      </c>
      <c r="C28" s="0" t="inlineStr">
        <is>
          <t>Thea Women's Lightweight Hoodie</t>
        </is>
      </c>
      <c r="D28" s="1">
        <v>142627</v>
      </c>
      <c r="E28" s="0" t="inlineStr">
        <is>
          <t>IOWA THEA W BK:142627Z-12PK</t>
        </is>
      </c>
      <c r="F28" s="2">
        <v>800142627994</v>
      </c>
      <c r="G28" s="0" t="inlineStr">
        <is>
          <t>WOMENS</t>
        </is>
      </c>
      <c r="H28" s="0" t="inlineStr">
        <is>
          <t>12 PACK</t>
        </is>
      </c>
      <c r="I28" s="0">
        <v>576</v>
      </c>
      <c r="J28" s="0">
        <v>0</v>
      </c>
    </row>
    <row r="29" spans="1:10" customHeight="0">
      <c r="A29" s="0">
        <f>HYPERLINK("https://dl.dropboxusercontent.com/scl/fi/phf9aioq6t49m9cq37cnn/sanford-142308-tn.jpg?rlkey=fhej9y146nmmeik1chz45rr04&amp;dl=0","Click to download Image")</f>
      </c>
      <c r="B29" s="0">
        <f>HYPERLINK("https://dl.dropboxusercontent.com/scl/fi/10biqq0sa2s8w7vw6jupv/mens-hoodie-size-chartssanford-sweatshirt-inset.jpg?rlkey=jful3mf6y5sko40l3cqfo4dib&amp;dl=0","Click to download SizeChart")</f>
      </c>
      <c r="C29" s="0" t="inlineStr">
        <is>
          <t>Sanford Men's Sweatshirt</t>
        </is>
      </c>
      <c r="D29" s="1">
        <v>142308</v>
      </c>
      <c r="E29" s="0" t="inlineStr">
        <is>
          <t>IOWA SANFOR M LG:142308A-S</t>
        </is>
      </c>
      <c r="F29" s="2">
        <v>800142308046</v>
      </c>
      <c r="G29" s="0" t="inlineStr">
        <is>
          <t>MENS</t>
        </is>
      </c>
      <c r="H29" s="0" t="inlineStr">
        <is>
          <t>S</t>
        </is>
      </c>
      <c r="I29" s="0">
        <v>64.99</v>
      </c>
      <c r="J29" s="0">
        <v>2</v>
      </c>
    </row>
    <row r="30" spans="1:10" customHeight="0">
      <c r="A30" s="0">
        <f>HYPERLINK("https://dl.dropboxusercontent.com/scl/fi/phf9aioq6t49m9cq37cnn/sanford-142308-tn.jpg?rlkey=fhej9y146nmmeik1chz45rr04&amp;dl=0","Click to download Image")</f>
      </c>
      <c r="B30" s="0">
        <f>HYPERLINK("https://dl.dropboxusercontent.com/scl/fi/10biqq0sa2s8w7vw6jupv/mens-hoodie-size-chartssanford-sweatshirt-inset.jpg?rlkey=jful3mf6y5sko40l3cqfo4dib&amp;dl=0","Click to download SizeChart")</f>
      </c>
      <c r="C30" s="0" t="inlineStr">
        <is>
          <t>Sanford Men's Sweatshirt</t>
        </is>
      </c>
      <c r="D30" s="1">
        <v>142308</v>
      </c>
      <c r="E30" s="0" t="inlineStr">
        <is>
          <t>IOWA SANFOR M LG:142308B-M</t>
        </is>
      </c>
      <c r="F30" s="2">
        <v>800142308053</v>
      </c>
      <c r="G30" s="0" t="inlineStr">
        <is>
          <t>MENS</t>
        </is>
      </c>
      <c r="H30" s="0" t="inlineStr">
        <is>
          <t>M</t>
        </is>
      </c>
      <c r="I30" s="0">
        <v>64.99</v>
      </c>
      <c r="J30" s="0">
        <v>3</v>
      </c>
    </row>
    <row r="31" spans="1:10" customHeight="0">
      <c r="A31" s="0">
        <f>HYPERLINK("https://dl.dropboxusercontent.com/scl/fi/phf9aioq6t49m9cq37cnn/sanford-142308-tn.jpg?rlkey=fhej9y146nmmeik1chz45rr04&amp;dl=0","Click to download Image")</f>
      </c>
      <c r="B31" s="0">
        <f>HYPERLINK("https://dl.dropboxusercontent.com/scl/fi/10biqq0sa2s8w7vw6jupv/mens-hoodie-size-chartssanford-sweatshirt-inset.jpg?rlkey=jful3mf6y5sko40l3cqfo4dib&amp;dl=0","Click to download SizeChart")</f>
      </c>
      <c r="C31" s="0" t="inlineStr">
        <is>
          <t>Sanford Men's Sweatshirt</t>
        </is>
      </c>
      <c r="D31" s="1">
        <v>142308</v>
      </c>
      <c r="E31" s="0" t="inlineStr">
        <is>
          <t>IOWA SANFOR M LG:142308C-L</t>
        </is>
      </c>
      <c r="F31" s="2">
        <v>800142308060</v>
      </c>
      <c r="G31" s="0" t="inlineStr">
        <is>
          <t>MENS</t>
        </is>
      </c>
      <c r="H31" s="0" t="inlineStr">
        <is>
          <t>L</t>
        </is>
      </c>
      <c r="I31" s="0">
        <v>64.99</v>
      </c>
      <c r="J31" s="0">
        <v>6</v>
      </c>
    </row>
    <row r="32" spans="1:10" customHeight="0">
      <c r="A32" s="0">
        <f>HYPERLINK("https://dl.dropboxusercontent.com/scl/fi/phf9aioq6t49m9cq37cnn/sanford-142308-tn.jpg?rlkey=fhej9y146nmmeik1chz45rr04&amp;dl=0","Click to download Image")</f>
      </c>
      <c r="B32" s="0">
        <f>HYPERLINK("https://dl.dropboxusercontent.com/scl/fi/10biqq0sa2s8w7vw6jupv/mens-hoodie-size-chartssanford-sweatshirt-inset.jpg?rlkey=jful3mf6y5sko40l3cqfo4dib&amp;dl=0","Click to download SizeChart")</f>
      </c>
      <c r="C32" s="0" t="inlineStr">
        <is>
          <t>Sanford Men's Sweatshirt</t>
        </is>
      </c>
      <c r="D32" s="1">
        <v>142308</v>
      </c>
      <c r="E32" s="0" t="inlineStr">
        <is>
          <t>IOWA SANFOR M LG:142308D-XL</t>
        </is>
      </c>
      <c r="F32" s="2">
        <v>800142308077</v>
      </c>
      <c r="G32" s="0" t="inlineStr">
        <is>
          <t>MENS</t>
        </is>
      </c>
      <c r="H32" s="0" t="inlineStr">
        <is>
          <t>XL</t>
        </is>
      </c>
      <c r="I32" s="0">
        <v>64.99</v>
      </c>
      <c r="J32" s="0">
        <v>9</v>
      </c>
    </row>
    <row r="33" spans="1:10" customHeight="0">
      <c r="A33" s="0">
        <f>HYPERLINK("https://dl.dropboxusercontent.com/scl/fi/phf9aioq6t49m9cq37cnn/sanford-142308-tn.jpg?rlkey=fhej9y146nmmeik1chz45rr04&amp;dl=0","Click to download Image")</f>
      </c>
      <c r="B33" s="0">
        <f>HYPERLINK("https://dl.dropboxusercontent.com/scl/fi/10biqq0sa2s8w7vw6jupv/mens-hoodie-size-chartssanford-sweatshirt-inset.jpg?rlkey=jful3mf6y5sko40l3cqfo4dib&amp;dl=0","Click to download SizeChart")</f>
      </c>
      <c r="C33" s="0" t="inlineStr">
        <is>
          <t>Sanford Men's Sweatshirt</t>
        </is>
      </c>
      <c r="D33" s="1">
        <v>142308</v>
      </c>
      <c r="E33" s="0" t="inlineStr">
        <is>
          <t>IOWA SANFOR M LG:142308E-2XL</t>
        </is>
      </c>
      <c r="F33" s="2">
        <v>800142308084</v>
      </c>
      <c r="G33" s="0" t="inlineStr">
        <is>
          <t>MENS</t>
        </is>
      </c>
      <c r="H33" s="0" t="inlineStr">
        <is>
          <t>2XL</t>
        </is>
      </c>
      <c r="I33" s="0">
        <v>64.99</v>
      </c>
      <c r="J33" s="0">
        <v>5</v>
      </c>
    </row>
    <row r="34" spans="1:10" customHeight="0">
      <c r="A34" s="0">
        <f>HYPERLINK("https://dl.dropboxusercontent.com/scl/fi/phf9aioq6t49m9cq37cnn/sanford-142308-tn.jpg?rlkey=fhej9y146nmmeik1chz45rr04&amp;dl=0","Click to download Image")</f>
      </c>
      <c r="B34" s="0">
        <f>HYPERLINK("https://dl.dropboxusercontent.com/scl/fi/10biqq0sa2s8w7vw6jupv/mens-hoodie-size-chartssanford-sweatshirt-inset.jpg?rlkey=jful3mf6y5sko40l3cqfo4dib&amp;dl=0","Click to download SizeChart")</f>
      </c>
      <c r="C34" s="0" t="inlineStr">
        <is>
          <t>Sanford Men's Sweatshirt</t>
        </is>
      </c>
      <c r="D34" s="1">
        <v>142308</v>
      </c>
      <c r="E34" s="0" t="inlineStr">
        <is>
          <t>IOWA SANFOR M LG:142308F-3XL</t>
        </is>
      </c>
      <c r="F34" s="2">
        <v>800142308091</v>
      </c>
      <c r="G34" s="0" t="inlineStr">
        <is>
          <t>MENS</t>
        </is>
      </c>
      <c r="H34" s="0" t="inlineStr">
        <is>
          <t>3XL</t>
        </is>
      </c>
      <c r="I34" s="0">
        <v>64.99</v>
      </c>
      <c r="J34" s="0">
        <v>4</v>
      </c>
    </row>
    <row r="35" spans="1:10" customHeight="0">
      <c r="A35" s="0">
        <f>HYPERLINK("https://dl.dropboxusercontent.com/scl/fi/phf9aioq6t49m9cq37cnn/sanford-142308-tn.jpg?rlkey=fhej9y146nmmeik1chz45rr04&amp;dl=0","Click to download Image")</f>
      </c>
      <c r="B35" s="0">
        <f>HYPERLINK("https://dl.dropboxusercontent.com/scl/fi/10biqq0sa2s8w7vw6jupv/mens-hoodie-size-chartssanford-sweatshirt-inset.jpg?rlkey=jful3mf6y5sko40l3cqfo4dib&amp;dl=0","Click to download SizeChart")</f>
      </c>
      <c r="C35" s="0" t="inlineStr">
        <is>
          <t>Sanford Men's Sweatshirt</t>
        </is>
      </c>
      <c r="D35" s="1">
        <v>142308</v>
      </c>
      <c r="E35" s="0" t="inlineStr">
        <is>
          <t>IOWA SANFOR M LG:142308Z-12PK</t>
        </is>
      </c>
      <c r="F35" s="2">
        <v>800142308992</v>
      </c>
      <c r="G35" s="0" t="inlineStr">
        <is>
          <t>MENS</t>
        </is>
      </c>
      <c r="H35" s="0" t="inlineStr">
        <is>
          <t>12 PACK</t>
        </is>
      </c>
      <c r="I35" s="0">
        <v>630</v>
      </c>
      <c r="J35" s="0">
        <v>0</v>
      </c>
    </row>
    <row r="36" spans="1:10" customHeight="0">
      <c r="A36" s="0">
        <f>HYPERLINK("https://dl.dropboxusercontent.com/scl/fi/qp7wnsk5fru5ciwdebny4/ellison-0295-copy-2.jpg?rlkey=wm3wqukrfwal5u31bmk9mpmvp&amp;dl=0","Click to download Image")</f>
      </c>
      <c r="B36" s="0">
        <f>HYPERLINK("https://dl.dropboxusercontent.com/scl/fi/gr2itylb2fynkd4mddf21/womens-bottoms-size-chartsellison.jpg?rlkey=hqomskuopj5s4w5aptipvq1pi&amp;dl=0","Click to download SizeChart")</f>
      </c>
      <c r="C36" s="0" t="inlineStr">
        <is>
          <t>Ellison Women's Joggers</t>
        </is>
      </c>
      <c r="D36" s="1">
        <v>141316</v>
      </c>
      <c r="E36" s="0" t="inlineStr">
        <is>
          <t>IOWA ELLISO W BK:141316A-S</t>
        </is>
      </c>
      <c r="F36" s="2">
        <v>800141316011</v>
      </c>
      <c r="G36" s="0" t="inlineStr">
        <is>
          <t>WOMENS</t>
        </is>
      </c>
      <c r="H36" s="0" t="inlineStr">
        <is>
          <t>S</t>
        </is>
      </c>
      <c r="I36" s="0">
        <v>44.99</v>
      </c>
      <c r="J36" s="0">
        <v>0</v>
      </c>
    </row>
    <row r="37" spans="1:10" customHeight="0">
      <c r="A37" s="0">
        <f>HYPERLINK("https://dl.dropboxusercontent.com/scl/fi/qp7wnsk5fru5ciwdebny4/ellison-0295-copy-2.jpg?rlkey=wm3wqukrfwal5u31bmk9mpmvp&amp;dl=0","Click to download Image")</f>
      </c>
      <c r="B37" s="0">
        <f>HYPERLINK("https://dl.dropboxusercontent.com/scl/fi/gr2itylb2fynkd4mddf21/womens-bottoms-size-chartsellison.jpg?rlkey=hqomskuopj5s4w5aptipvq1pi&amp;dl=0","Click to download SizeChart")</f>
      </c>
      <c r="C37" s="0" t="inlineStr">
        <is>
          <t>Ellison Women's Joggers</t>
        </is>
      </c>
      <c r="D37" s="1">
        <v>141316</v>
      </c>
      <c r="E37" s="0" t="inlineStr">
        <is>
          <t>IOWA ELLISO W BK:141316B-M</t>
        </is>
      </c>
      <c r="F37" s="2">
        <v>800141316028</v>
      </c>
      <c r="G37" s="0" t="inlineStr">
        <is>
          <t>WOMENS</t>
        </is>
      </c>
      <c r="H37" s="0" t="inlineStr">
        <is>
          <t>M</t>
        </is>
      </c>
      <c r="I37" s="0">
        <v>44.99</v>
      </c>
      <c r="J37" s="0">
        <v>0</v>
      </c>
    </row>
    <row r="38" spans="1:10" customHeight="0">
      <c r="A38" s="0">
        <f>HYPERLINK("https://dl.dropboxusercontent.com/scl/fi/qp7wnsk5fru5ciwdebny4/ellison-0295-copy-2.jpg?rlkey=wm3wqukrfwal5u31bmk9mpmvp&amp;dl=0","Click to download Image")</f>
      </c>
      <c r="B38" s="0">
        <f>HYPERLINK("https://dl.dropboxusercontent.com/scl/fi/gr2itylb2fynkd4mddf21/womens-bottoms-size-chartsellison.jpg?rlkey=hqomskuopj5s4w5aptipvq1pi&amp;dl=0","Click to download SizeChart")</f>
      </c>
      <c r="C38" s="0" t="inlineStr">
        <is>
          <t>Ellison Women's Joggers</t>
        </is>
      </c>
      <c r="D38" s="1">
        <v>141316</v>
      </c>
      <c r="E38" s="0" t="inlineStr">
        <is>
          <t>IOWA ELLISO W BK:141316C-L</t>
        </is>
      </c>
      <c r="F38" s="2">
        <v>800141316035</v>
      </c>
      <c r="G38" s="0" t="inlineStr">
        <is>
          <t>WOMENS</t>
        </is>
      </c>
      <c r="H38" s="0" t="inlineStr">
        <is>
          <t>L</t>
        </is>
      </c>
      <c r="I38" s="0">
        <v>44.99</v>
      </c>
      <c r="J38" s="0">
        <v>13</v>
      </c>
    </row>
    <row r="39" spans="1:10" customHeight="0">
      <c r="A39" s="0">
        <f>HYPERLINK("https://dl.dropboxusercontent.com/scl/fi/qp7wnsk5fru5ciwdebny4/ellison-0295-copy-2.jpg?rlkey=wm3wqukrfwal5u31bmk9mpmvp&amp;dl=0","Click to download Image")</f>
      </c>
      <c r="B39" s="0">
        <f>HYPERLINK("https://dl.dropboxusercontent.com/scl/fi/gr2itylb2fynkd4mddf21/womens-bottoms-size-chartsellison.jpg?rlkey=hqomskuopj5s4w5aptipvq1pi&amp;dl=0","Click to download SizeChart")</f>
      </c>
      <c r="C39" s="0" t="inlineStr">
        <is>
          <t>Ellison Women's Joggers</t>
        </is>
      </c>
      <c r="D39" s="1">
        <v>141316</v>
      </c>
      <c r="E39" s="0" t="inlineStr">
        <is>
          <t>IOWA ELLISO W BK:141316D-XL</t>
        </is>
      </c>
      <c r="F39" s="2">
        <v>800141316042</v>
      </c>
      <c r="G39" s="0" t="inlineStr">
        <is>
          <t>WOMENS</t>
        </is>
      </c>
      <c r="H39" s="0" t="inlineStr">
        <is>
          <t>XL</t>
        </is>
      </c>
      <c r="I39" s="0">
        <v>44.99</v>
      </c>
      <c r="J39" s="0">
        <v>15</v>
      </c>
    </row>
    <row r="40" spans="1:10" customHeight="0">
      <c r="A40" s="0">
        <f>HYPERLINK("https://dl.dropboxusercontent.com/scl/fi/qp7wnsk5fru5ciwdebny4/ellison-0295-copy-2.jpg?rlkey=wm3wqukrfwal5u31bmk9mpmvp&amp;dl=0","Click to download Image")</f>
      </c>
      <c r="B40" s="0">
        <f>HYPERLINK("https://dl.dropboxusercontent.com/scl/fi/gr2itylb2fynkd4mddf21/womens-bottoms-size-chartsellison.jpg?rlkey=hqomskuopj5s4w5aptipvq1pi&amp;dl=0","Click to download SizeChart")</f>
      </c>
      <c r="C40" s="0" t="inlineStr">
        <is>
          <t>Ellison Women's Joggers</t>
        </is>
      </c>
      <c r="D40" s="1">
        <v>141316</v>
      </c>
      <c r="E40" s="0" t="inlineStr">
        <is>
          <t>IOWA ELLISO W BK:141316E-2XL</t>
        </is>
      </c>
      <c r="F40" s="2">
        <v>800141316059</v>
      </c>
      <c r="G40" s="0" t="inlineStr">
        <is>
          <t>WOMENS</t>
        </is>
      </c>
      <c r="H40" s="0" t="inlineStr">
        <is>
          <t>2XL</t>
        </is>
      </c>
      <c r="I40" s="0">
        <v>44.99</v>
      </c>
      <c r="J40" s="0">
        <v>10</v>
      </c>
    </row>
    <row r="41" spans="1:10" customHeight="0">
      <c r="A41" s="0">
        <f>HYPERLINK("https://dl.dropboxusercontent.com/scl/fi/qp7wnsk5fru5ciwdebny4/ellison-0295-copy-2.jpg?rlkey=wm3wqukrfwal5u31bmk9mpmvp&amp;dl=0","Click to download Image")</f>
      </c>
      <c r="B41" s="0">
        <f>HYPERLINK("https://dl.dropboxusercontent.com/scl/fi/gr2itylb2fynkd4mddf21/womens-bottoms-size-chartsellison.jpg?rlkey=hqomskuopj5s4w5aptipvq1pi&amp;dl=0","Click to download SizeChart")</f>
      </c>
      <c r="C41" s="0" t="inlineStr">
        <is>
          <t>Ellison Women's Joggers</t>
        </is>
      </c>
      <c r="D41" s="1">
        <v>141316</v>
      </c>
      <c r="E41" s="0" t="inlineStr">
        <is>
          <t>IOWA ELLISO W BK:141316F-3XL</t>
        </is>
      </c>
      <c r="F41" s="2">
        <v>800141316066</v>
      </c>
      <c r="G41" s="0" t="inlineStr">
        <is>
          <t>WOMENS</t>
        </is>
      </c>
      <c r="H41" s="0" t="inlineStr">
        <is>
          <t>3XL</t>
        </is>
      </c>
      <c r="I41" s="0">
        <v>44.99</v>
      </c>
      <c r="J41" s="0">
        <v>6</v>
      </c>
    </row>
    <row r="42" spans="1:10" customHeight="0">
      <c r="A42" s="0">
        <f>HYPERLINK("https://dl.dropboxusercontent.com/scl/fi/qp7wnsk5fru5ciwdebny4/ellison-0295-copy-2.jpg?rlkey=wm3wqukrfwal5u31bmk9mpmvp&amp;dl=0","Click to download Image")</f>
      </c>
      <c r="B42" s="0">
        <f>HYPERLINK("https://dl.dropboxusercontent.com/scl/fi/gr2itylb2fynkd4mddf21/womens-bottoms-size-chartsellison.jpg?rlkey=hqomskuopj5s4w5aptipvq1pi&amp;dl=0","Click to download SizeChart")</f>
      </c>
      <c r="C42" s="0" t="inlineStr">
        <is>
          <t>Ellison Women's Joggers</t>
        </is>
      </c>
      <c r="D42" s="1">
        <v>141316</v>
      </c>
      <c r="E42" s="0" t="inlineStr">
        <is>
          <t>IOWA ELLISO W BK:141316Z-12PK</t>
        </is>
      </c>
      <c r="F42" s="2">
        <v>800141316066</v>
      </c>
      <c r="G42" s="0" t="inlineStr">
        <is>
          <t>WOMENS</t>
        </is>
      </c>
      <c r="H42" s="0" t="inlineStr">
        <is>
          <t>12 PACK</t>
        </is>
      </c>
      <c r="I42" s="0">
        <v>432</v>
      </c>
      <c r="J42" s="0">
        <v>0</v>
      </c>
    </row>
    <row r="43" spans="1:10" customHeight="0">
      <c r="A43" s="0">
        <f>HYPERLINK("https://dl.dropboxusercontent.com/scl/fi/hosi7byxiik76n1no0eo3/142709-fleet-tn.jpg?rlkey=fa41fidlw5549utseq1lkmxqd&amp;dl=0","Click to download Image")</f>
      </c>
      <c r="B43" s="0">
        <f>HYPERLINK("https://dl.dropboxusercontent.com/scl/fi/mlgble2zgkkehpb5a5yi2/mens-polo-size-chartsfleet.jpg?rlkey=xsqvfn1rksjtxlxm69pwvm4ie&amp;dl=0","Click to download SizeChart")</f>
      </c>
      <c r="C43" s="0" t="inlineStr">
        <is>
          <t>Fleet Men's Polo</t>
        </is>
      </c>
      <c r="D43" s="1">
        <v>142709</v>
      </c>
      <c r="E43" s="0" t="inlineStr">
        <is>
          <t>IOWA FLEET M GD:142709A-S</t>
        </is>
      </c>
      <c r="F43" s="2">
        <v>800142709041</v>
      </c>
      <c r="G43" s="0" t="inlineStr">
        <is>
          <t>MENS</t>
        </is>
      </c>
      <c r="H43" s="0" t="inlineStr">
        <is>
          <t>S</t>
        </is>
      </c>
      <c r="I43" s="0">
        <v>54.99</v>
      </c>
      <c r="J43" s="0">
        <v>5</v>
      </c>
    </row>
    <row r="44" spans="1:10" customHeight="0">
      <c r="A44" s="0">
        <f>HYPERLINK("https://dl.dropboxusercontent.com/scl/fi/hosi7byxiik76n1no0eo3/142709-fleet-tn.jpg?rlkey=fa41fidlw5549utseq1lkmxqd&amp;dl=0","Click to download Image")</f>
      </c>
      <c r="B44" s="0">
        <f>HYPERLINK("https://dl.dropboxusercontent.com/scl/fi/mlgble2zgkkehpb5a5yi2/mens-polo-size-chartsfleet.jpg?rlkey=xsqvfn1rksjtxlxm69pwvm4ie&amp;dl=0","Click to download SizeChart")</f>
      </c>
      <c r="C44" s="0" t="inlineStr">
        <is>
          <t>Fleet Men's Polo</t>
        </is>
      </c>
      <c r="D44" s="1">
        <v>142709</v>
      </c>
      <c r="E44" s="0" t="inlineStr">
        <is>
          <t>IOWA FLEET M GD:142709B-M</t>
        </is>
      </c>
      <c r="F44" s="2">
        <v>800142709058</v>
      </c>
      <c r="G44" s="0" t="inlineStr">
        <is>
          <t>MENS</t>
        </is>
      </c>
      <c r="H44" s="0" t="inlineStr">
        <is>
          <t>M</t>
        </is>
      </c>
      <c r="I44" s="0">
        <v>54.99</v>
      </c>
      <c r="J44" s="0">
        <v>15</v>
      </c>
    </row>
    <row r="45" spans="1:10" customHeight="0">
      <c r="A45" s="0">
        <f>HYPERLINK("https://dl.dropboxusercontent.com/scl/fi/hosi7byxiik76n1no0eo3/142709-fleet-tn.jpg?rlkey=fa41fidlw5549utseq1lkmxqd&amp;dl=0","Click to download Image")</f>
      </c>
      <c r="B45" s="0">
        <f>HYPERLINK("https://dl.dropboxusercontent.com/scl/fi/mlgble2zgkkehpb5a5yi2/mens-polo-size-chartsfleet.jpg?rlkey=xsqvfn1rksjtxlxm69pwvm4ie&amp;dl=0","Click to download SizeChart")</f>
      </c>
      <c r="C45" s="0" t="inlineStr">
        <is>
          <t>Fleet Men's Polo</t>
        </is>
      </c>
      <c r="D45" s="1">
        <v>142709</v>
      </c>
      <c r="E45" s="0" t="inlineStr">
        <is>
          <t>IOWA FLEET M GD:142709C-L</t>
        </is>
      </c>
      <c r="F45" s="2">
        <v>800142709065</v>
      </c>
      <c r="G45" s="0" t="inlineStr">
        <is>
          <t>MENS</t>
        </is>
      </c>
      <c r="H45" s="0" t="inlineStr">
        <is>
          <t>L</t>
        </is>
      </c>
      <c r="I45" s="0">
        <v>54.99</v>
      </c>
      <c r="J45" s="0">
        <v>22</v>
      </c>
    </row>
    <row r="46" spans="1:10" customHeight="0">
      <c r="A46" s="0">
        <f>HYPERLINK("https://dl.dropboxusercontent.com/scl/fi/hosi7byxiik76n1no0eo3/142709-fleet-tn.jpg?rlkey=fa41fidlw5549utseq1lkmxqd&amp;dl=0","Click to download Image")</f>
      </c>
      <c r="B46" s="0">
        <f>HYPERLINK("https://dl.dropboxusercontent.com/scl/fi/mlgble2zgkkehpb5a5yi2/mens-polo-size-chartsfleet.jpg?rlkey=xsqvfn1rksjtxlxm69pwvm4ie&amp;dl=0","Click to download SizeChart")</f>
      </c>
      <c r="C46" s="0" t="inlineStr">
        <is>
          <t>Fleet Men's Polo</t>
        </is>
      </c>
      <c r="D46" s="1">
        <v>142709</v>
      </c>
      <c r="E46" s="0" t="inlineStr">
        <is>
          <t>IOWA FLEET M GD:142709D-XL</t>
        </is>
      </c>
      <c r="F46" s="2">
        <v>800142709072</v>
      </c>
      <c r="G46" s="0" t="inlineStr">
        <is>
          <t>MENS</t>
        </is>
      </c>
      <c r="H46" s="0" t="inlineStr">
        <is>
          <t>XL</t>
        </is>
      </c>
      <c r="I46" s="0">
        <v>54.99</v>
      </c>
      <c r="J46" s="0">
        <v>22</v>
      </c>
    </row>
    <row r="47" spans="1:10" customHeight="0">
      <c r="A47" s="0">
        <f>HYPERLINK("https://dl.dropboxusercontent.com/scl/fi/hosi7byxiik76n1no0eo3/142709-fleet-tn.jpg?rlkey=fa41fidlw5549utseq1lkmxqd&amp;dl=0","Click to download Image")</f>
      </c>
      <c r="B47" s="0">
        <f>HYPERLINK("https://dl.dropboxusercontent.com/scl/fi/mlgble2zgkkehpb5a5yi2/mens-polo-size-chartsfleet.jpg?rlkey=xsqvfn1rksjtxlxm69pwvm4ie&amp;dl=0","Click to download SizeChart")</f>
      </c>
      <c r="C47" s="0" t="inlineStr">
        <is>
          <t>Fleet Men's Polo</t>
        </is>
      </c>
      <c r="D47" s="1">
        <v>142709</v>
      </c>
      <c r="E47" s="0" t="inlineStr">
        <is>
          <t>IOWA FLEET M GD:142709E-2XL</t>
        </is>
      </c>
      <c r="F47" s="2">
        <v>800142709089</v>
      </c>
      <c r="G47" s="0" t="inlineStr">
        <is>
          <t>MENS</t>
        </is>
      </c>
      <c r="H47" s="0" t="inlineStr">
        <is>
          <t>2XL</t>
        </is>
      </c>
      <c r="I47" s="0">
        <v>54.99</v>
      </c>
      <c r="J47" s="0">
        <v>16</v>
      </c>
    </row>
    <row r="48" spans="1:10" customHeight="0">
      <c r="A48" s="0">
        <f>HYPERLINK("https://dl.dropboxusercontent.com/scl/fi/hosi7byxiik76n1no0eo3/142709-fleet-tn.jpg?rlkey=fa41fidlw5549utseq1lkmxqd&amp;dl=0","Click to download Image")</f>
      </c>
      <c r="B48" s="0">
        <f>HYPERLINK("https://dl.dropboxusercontent.com/scl/fi/mlgble2zgkkehpb5a5yi2/mens-polo-size-chartsfleet.jpg?rlkey=xsqvfn1rksjtxlxm69pwvm4ie&amp;dl=0","Click to download SizeChart")</f>
      </c>
      <c r="C48" s="0" t="inlineStr">
        <is>
          <t>Fleet Men's Polo</t>
        </is>
      </c>
      <c r="D48" s="1">
        <v>142709</v>
      </c>
      <c r="E48" s="0" t="inlineStr">
        <is>
          <t>IOWA FLEET M GD:142709F-3XL</t>
        </is>
      </c>
      <c r="F48" s="2">
        <v>800142709096</v>
      </c>
      <c r="G48" s="0" t="inlineStr">
        <is>
          <t>MENS</t>
        </is>
      </c>
      <c r="H48" s="0" t="inlineStr">
        <is>
          <t>3XL</t>
        </is>
      </c>
      <c r="I48" s="0">
        <v>54.99</v>
      </c>
      <c r="J48" s="0">
        <v>2</v>
      </c>
    </row>
    <row r="49" spans="1:10" customHeight="0">
      <c r="A49" s="0">
        <f>HYPERLINK("https://dl.dropboxusercontent.com/scl/fi/hosi7byxiik76n1no0eo3/142709-fleet-tn.jpg?rlkey=fa41fidlw5549utseq1lkmxqd&amp;dl=0","Click to download Image")</f>
      </c>
      <c r="B49" s="0">
        <f>HYPERLINK("https://dl.dropboxusercontent.com/scl/fi/mlgble2zgkkehpb5a5yi2/mens-polo-size-chartsfleet.jpg?rlkey=xsqvfn1rksjtxlxm69pwvm4ie&amp;dl=0","Click to download SizeChart")</f>
      </c>
      <c r="C49" s="0" t="inlineStr">
        <is>
          <t>Fleet Men's Polo</t>
        </is>
      </c>
      <c r="D49" s="1">
        <v>142709</v>
      </c>
      <c r="E49" s="0" t="inlineStr">
        <is>
          <t>IOWA FLEET M GD:142709Z-12PK</t>
        </is>
      </c>
      <c r="F49" s="2">
        <v>800142709997</v>
      </c>
      <c r="G49" s="0" t="inlineStr">
        <is>
          <t>MENS</t>
        </is>
      </c>
      <c r="H49" s="0" t="inlineStr">
        <is>
          <t>12 PACK</t>
        </is>
      </c>
      <c r="I49" s="0">
        <v>534</v>
      </c>
      <c r="J49" s="0">
        <v>0</v>
      </c>
    </row>
    <row r="50" spans="1:10" customHeight="0">
      <c r="A50" s="0">
        <f>HYPERLINK("https://dl.dropboxusercontent.com/scl/fi/uivhuotem5i868rdt6g8e/tank56294.jpg?rlkey=jva3rkfqxulozx4m6khxyub33&amp;dl=0","Click to download Image")</f>
      </c>
      <c r="B50" s="0">
        <f>HYPERLINK("https://dl.dropboxusercontent.com/scl/fi/w1r2c2gsnw9qgh4xd4vzi/womens-tank-top-size-chartsberridy.jpg?rlkey=ce43f9huebat38os304ofvkf8&amp;dl=0","Click to download SizeChart")</f>
      </c>
      <c r="C50" s="0" t="inlineStr">
        <is>
          <t>Berridy Women's Tank Top</t>
        </is>
      </c>
      <c r="D50" s="1">
        <v>142349</v>
      </c>
      <c r="E50" s="0" t="inlineStr">
        <is>
          <t>IOWA BERRID W BK:142349A-S</t>
        </is>
      </c>
      <c r="F50" s="2">
        <v>800142349049</v>
      </c>
      <c r="G50" s="0" t="inlineStr">
        <is>
          <t>WOMENS</t>
        </is>
      </c>
      <c r="H50" s="0" t="inlineStr">
        <is>
          <t>S</t>
        </is>
      </c>
      <c r="I50" s="0">
        <v>29.99</v>
      </c>
      <c r="J50" s="0">
        <v>1</v>
      </c>
    </row>
    <row r="51" spans="1:10" customHeight="0">
      <c r="A51" s="0">
        <f>HYPERLINK("https://dl.dropboxusercontent.com/scl/fi/uivhuotem5i868rdt6g8e/tank56294.jpg?rlkey=jva3rkfqxulozx4m6khxyub33&amp;dl=0","Click to download Image")</f>
      </c>
      <c r="B51" s="0">
        <f>HYPERLINK("https://dl.dropboxusercontent.com/scl/fi/w1r2c2gsnw9qgh4xd4vzi/womens-tank-top-size-chartsberridy.jpg?rlkey=ce43f9huebat38os304ofvkf8&amp;dl=0","Click to download SizeChart")</f>
      </c>
      <c r="C51" s="0" t="inlineStr">
        <is>
          <t>Berridy Women's Tank Top</t>
        </is>
      </c>
      <c r="D51" s="1">
        <v>142349</v>
      </c>
      <c r="E51" s="0" t="inlineStr">
        <is>
          <t>IOWA BERRID W BK:142349B-M</t>
        </is>
      </c>
      <c r="F51" s="2">
        <v>800142349056</v>
      </c>
      <c r="G51" s="0" t="inlineStr">
        <is>
          <t>WOMENS</t>
        </is>
      </c>
      <c r="H51" s="0" t="inlineStr">
        <is>
          <t>M</t>
        </is>
      </c>
      <c r="I51" s="0">
        <v>29.99</v>
      </c>
      <c r="J51" s="0">
        <v>6</v>
      </c>
    </row>
    <row r="52" spans="1:10" customHeight="0">
      <c r="A52" s="0">
        <f>HYPERLINK("https://dl.dropboxusercontent.com/scl/fi/uivhuotem5i868rdt6g8e/tank56294.jpg?rlkey=jva3rkfqxulozx4m6khxyub33&amp;dl=0","Click to download Image")</f>
      </c>
      <c r="B52" s="0">
        <f>HYPERLINK("https://dl.dropboxusercontent.com/scl/fi/w1r2c2gsnw9qgh4xd4vzi/womens-tank-top-size-chartsberridy.jpg?rlkey=ce43f9huebat38os304ofvkf8&amp;dl=0","Click to download SizeChart")</f>
      </c>
      <c r="C52" s="0" t="inlineStr">
        <is>
          <t>Berridy Women's Tank Top</t>
        </is>
      </c>
      <c r="D52" s="1">
        <v>142349</v>
      </c>
      <c r="E52" s="0" t="inlineStr">
        <is>
          <t>IOWA BERRID W BK:142349C-L</t>
        </is>
      </c>
      <c r="F52" s="2">
        <v>800142349063</v>
      </c>
      <c r="G52" s="0" t="inlineStr">
        <is>
          <t>WOMENS</t>
        </is>
      </c>
      <c r="H52" s="0" t="inlineStr">
        <is>
          <t>L</t>
        </is>
      </c>
      <c r="I52" s="0">
        <v>29.99</v>
      </c>
      <c r="J52" s="0">
        <v>6</v>
      </c>
    </row>
    <row r="53" spans="1:10" customHeight="0">
      <c r="A53" s="0">
        <f>HYPERLINK("https://dl.dropboxusercontent.com/scl/fi/uivhuotem5i868rdt6g8e/tank56294.jpg?rlkey=jva3rkfqxulozx4m6khxyub33&amp;dl=0","Click to download Image")</f>
      </c>
      <c r="B53" s="0">
        <f>HYPERLINK("https://dl.dropboxusercontent.com/scl/fi/w1r2c2gsnw9qgh4xd4vzi/womens-tank-top-size-chartsberridy.jpg?rlkey=ce43f9huebat38os304ofvkf8&amp;dl=0","Click to download SizeChart")</f>
      </c>
      <c r="C53" s="0" t="inlineStr">
        <is>
          <t>Berridy Women's Tank Top</t>
        </is>
      </c>
      <c r="D53" s="1">
        <v>142349</v>
      </c>
      <c r="E53" s="0" t="inlineStr">
        <is>
          <t>IOWA BERRID W BK:142349D-XL</t>
        </is>
      </c>
      <c r="F53" s="2">
        <v>800142349070</v>
      </c>
      <c r="G53" s="0" t="inlineStr">
        <is>
          <t>WOMENS</t>
        </is>
      </c>
      <c r="H53" s="0" t="inlineStr">
        <is>
          <t>XL</t>
        </is>
      </c>
      <c r="I53" s="0">
        <v>29.99</v>
      </c>
      <c r="J53" s="0">
        <v>1</v>
      </c>
    </row>
    <row r="54" spans="1:10" customHeight="0">
      <c r="A54" s="0">
        <f>HYPERLINK("https://dl.dropboxusercontent.com/scl/fi/uivhuotem5i868rdt6g8e/tank56294.jpg?rlkey=jva3rkfqxulozx4m6khxyub33&amp;dl=0","Click to download Image")</f>
      </c>
      <c r="B54" s="0">
        <f>HYPERLINK("https://dl.dropboxusercontent.com/scl/fi/w1r2c2gsnw9qgh4xd4vzi/womens-tank-top-size-chartsberridy.jpg?rlkey=ce43f9huebat38os304ofvkf8&amp;dl=0","Click to download SizeChart")</f>
      </c>
      <c r="C54" s="0" t="inlineStr">
        <is>
          <t>Berridy Women's Tank Top</t>
        </is>
      </c>
      <c r="D54" s="1">
        <v>142349</v>
      </c>
      <c r="E54" s="0" t="inlineStr">
        <is>
          <t>IOWA BERRID W BK:142349E-2XL</t>
        </is>
      </c>
      <c r="F54" s="2">
        <v>800142349087</v>
      </c>
      <c r="G54" s="0" t="inlineStr">
        <is>
          <t>WOMENS</t>
        </is>
      </c>
      <c r="H54" s="0" t="inlineStr">
        <is>
          <t>2XL</t>
        </is>
      </c>
      <c r="I54" s="0">
        <v>29.99</v>
      </c>
      <c r="J54" s="0">
        <v>1</v>
      </c>
    </row>
    <row r="55" spans="1:10" customHeight="0">
      <c r="A55" s="0">
        <f>HYPERLINK("https://dl.dropboxusercontent.com/scl/fi/uivhuotem5i868rdt6g8e/tank56294.jpg?rlkey=jva3rkfqxulozx4m6khxyub33&amp;dl=0","Click to download Image")</f>
      </c>
      <c r="B55" s="0">
        <f>HYPERLINK("https://dl.dropboxusercontent.com/scl/fi/w1r2c2gsnw9qgh4xd4vzi/womens-tank-top-size-chartsberridy.jpg?rlkey=ce43f9huebat38os304ofvkf8&amp;dl=0","Click to download SizeChart")</f>
      </c>
      <c r="C55" s="0" t="inlineStr">
        <is>
          <t>Berridy Women's Tank Top</t>
        </is>
      </c>
      <c r="D55" s="1">
        <v>142349</v>
      </c>
      <c r="E55" s="0" t="inlineStr">
        <is>
          <t>IOWA BERRID W BK:142349F-3XL</t>
        </is>
      </c>
      <c r="F55" s="2">
        <v>800142349094</v>
      </c>
      <c r="G55" s="0" t="inlineStr">
        <is>
          <t>WOMENS</t>
        </is>
      </c>
      <c r="H55" s="0" t="inlineStr">
        <is>
          <t>3XL</t>
        </is>
      </c>
      <c r="I55" s="0">
        <v>29.99</v>
      </c>
      <c r="J55" s="0">
        <v>2</v>
      </c>
    </row>
    <row r="56" spans="1:10" customHeight="0">
      <c r="A56" s="0">
        <f>HYPERLINK("https://dl.dropboxusercontent.com/scl/fi/uivhuotem5i868rdt6g8e/tank56294.jpg?rlkey=jva3rkfqxulozx4m6khxyub33&amp;dl=0","Click to download Image")</f>
      </c>
      <c r="B56" s="0">
        <f>HYPERLINK("https://dl.dropboxusercontent.com/scl/fi/w1r2c2gsnw9qgh4xd4vzi/womens-tank-top-size-chartsberridy.jpg?rlkey=ce43f9huebat38os304ofvkf8&amp;dl=0","Click to download SizeChart")</f>
      </c>
      <c r="C56" s="0" t="inlineStr">
        <is>
          <t>Berridy Women's Tank Top</t>
        </is>
      </c>
      <c r="D56" s="1">
        <v>142349</v>
      </c>
      <c r="E56" s="0" t="inlineStr">
        <is>
          <t>IOWA BERRID W BK:142349Z-12PK</t>
        </is>
      </c>
      <c r="F56" s="2">
        <v>800142349995</v>
      </c>
      <c r="G56" s="0" t="inlineStr">
        <is>
          <t>WOMENS</t>
        </is>
      </c>
      <c r="H56" s="0" t="inlineStr">
        <is>
          <t>12 PACK</t>
        </is>
      </c>
      <c r="I56" s="0">
        <v>288</v>
      </c>
      <c r="J56" s="0">
        <v>0</v>
      </c>
    </row>
    <row r="57" spans="1:10" customHeight="0">
      <c r="A57" s="0">
        <f>HYPERLINK("https://dl.dropboxusercontent.com/scl/fi/q7lxsqdjvhvx9tc3qr5od/142670-amanda-tn.jpg?rlkey=8vilvebc7xqbqxsk05yx6goid&amp;dl=0","Click to download Image")</f>
      </c>
      <c r="B57" s="0">
        <f>HYPERLINK("https://dl.dropboxusercontent.com/scl/fi/peh0u67yvagefgbzel4gd/womens-t-shirt-size-chartsamanda.jpg?rlkey=nqgsrueeit8vmp9654d87tfe2&amp;dl=0","Click to download SizeChart")</f>
      </c>
      <c r="C57" s="0" t="inlineStr">
        <is>
          <t>Amanda Women's Short Sleeve Shirt</t>
        </is>
      </c>
      <c r="D57" s="1">
        <v>142670</v>
      </c>
      <c r="E57" s="0" t="inlineStr">
        <is>
          <t>IOWA AMANDA W GY:142670A-S</t>
        </is>
      </c>
      <c r="F57" s="2">
        <v>800142670044</v>
      </c>
      <c r="G57" s="0" t="inlineStr">
        <is>
          <t>WOMENS</t>
        </is>
      </c>
      <c r="H57" s="0" t="inlineStr">
        <is>
          <t>S</t>
        </is>
      </c>
      <c r="I57" s="0">
        <v>32.99</v>
      </c>
      <c r="J57" s="0">
        <v>0</v>
      </c>
    </row>
    <row r="58" spans="1:10" customHeight="0">
      <c r="A58" s="0">
        <f>HYPERLINK("https://dl.dropboxusercontent.com/scl/fi/q7lxsqdjvhvx9tc3qr5od/142670-amanda-tn.jpg?rlkey=8vilvebc7xqbqxsk05yx6goid&amp;dl=0","Click to download Image")</f>
      </c>
      <c r="B58" s="0">
        <f>HYPERLINK("https://dl.dropboxusercontent.com/scl/fi/peh0u67yvagefgbzel4gd/womens-t-shirt-size-chartsamanda.jpg?rlkey=nqgsrueeit8vmp9654d87tfe2&amp;dl=0","Click to download SizeChart")</f>
      </c>
      <c r="C58" s="0" t="inlineStr">
        <is>
          <t>Amanda Women's Short Sleeve Shirt</t>
        </is>
      </c>
      <c r="D58" s="1">
        <v>142670</v>
      </c>
      <c r="E58" s="0" t="inlineStr">
        <is>
          <t>IOWA AMANDA W GY:142670B-M</t>
        </is>
      </c>
      <c r="F58" s="2">
        <v>800142670051</v>
      </c>
      <c r="G58" s="0" t="inlineStr">
        <is>
          <t>WOMENS</t>
        </is>
      </c>
      <c r="H58" s="0" t="inlineStr">
        <is>
          <t>M</t>
        </is>
      </c>
      <c r="I58" s="0">
        <v>32.99</v>
      </c>
      <c r="J58" s="0">
        <v>7</v>
      </c>
    </row>
    <row r="59" spans="1:10" customHeight="0">
      <c r="A59" s="0">
        <f>HYPERLINK("https://dl.dropboxusercontent.com/scl/fi/q7lxsqdjvhvx9tc3qr5od/142670-amanda-tn.jpg?rlkey=8vilvebc7xqbqxsk05yx6goid&amp;dl=0","Click to download Image")</f>
      </c>
      <c r="B59" s="0">
        <f>HYPERLINK("https://dl.dropboxusercontent.com/scl/fi/peh0u67yvagefgbzel4gd/womens-t-shirt-size-chartsamanda.jpg?rlkey=nqgsrueeit8vmp9654d87tfe2&amp;dl=0","Click to download SizeChart")</f>
      </c>
      <c r="C59" s="0" t="inlineStr">
        <is>
          <t>Amanda Women's Short Sleeve Shirt</t>
        </is>
      </c>
      <c r="D59" s="1">
        <v>142670</v>
      </c>
      <c r="E59" s="0" t="inlineStr">
        <is>
          <t>IOWA AMANDA W GY:142670C-L</t>
        </is>
      </c>
      <c r="F59" s="2">
        <v>800142670068</v>
      </c>
      <c r="G59" s="0" t="inlineStr">
        <is>
          <t>WOMENS</t>
        </is>
      </c>
      <c r="H59" s="0" t="inlineStr">
        <is>
          <t>L</t>
        </is>
      </c>
      <c r="I59" s="0">
        <v>32.99</v>
      </c>
      <c r="J59" s="0">
        <v>7</v>
      </c>
    </row>
    <row r="60" spans="1:10" customHeight="0">
      <c r="A60" s="0">
        <f>HYPERLINK("https://dl.dropboxusercontent.com/scl/fi/q7lxsqdjvhvx9tc3qr5od/142670-amanda-tn.jpg?rlkey=8vilvebc7xqbqxsk05yx6goid&amp;dl=0","Click to download Image")</f>
      </c>
      <c r="B60" s="0">
        <f>HYPERLINK("https://dl.dropboxusercontent.com/scl/fi/peh0u67yvagefgbzel4gd/womens-t-shirt-size-chartsamanda.jpg?rlkey=nqgsrueeit8vmp9654d87tfe2&amp;dl=0","Click to download SizeChart")</f>
      </c>
      <c r="C60" s="0" t="inlineStr">
        <is>
          <t>Amanda Women's Short Sleeve Shirt</t>
        </is>
      </c>
      <c r="D60" s="1">
        <v>142670</v>
      </c>
      <c r="E60" s="0" t="inlineStr">
        <is>
          <t>IOWA AMANDA W GY:142670D-XL</t>
        </is>
      </c>
      <c r="F60" s="2">
        <v>800142670075</v>
      </c>
      <c r="G60" s="0" t="inlineStr">
        <is>
          <t>WOMENS</t>
        </is>
      </c>
      <c r="H60" s="0" t="inlineStr">
        <is>
          <t>XL</t>
        </is>
      </c>
      <c r="I60" s="0">
        <v>32.99</v>
      </c>
      <c r="J60" s="0">
        <v>0</v>
      </c>
    </row>
    <row r="61" spans="1:10" customHeight="0">
      <c r="A61" s="0">
        <f>HYPERLINK("https://dl.dropboxusercontent.com/scl/fi/q7lxsqdjvhvx9tc3qr5od/142670-amanda-tn.jpg?rlkey=8vilvebc7xqbqxsk05yx6goid&amp;dl=0","Click to download Image")</f>
      </c>
      <c r="B61" s="0">
        <f>HYPERLINK("https://dl.dropboxusercontent.com/scl/fi/peh0u67yvagefgbzel4gd/womens-t-shirt-size-chartsamanda.jpg?rlkey=nqgsrueeit8vmp9654d87tfe2&amp;dl=0","Click to download SizeChart")</f>
      </c>
      <c r="C61" s="0" t="inlineStr">
        <is>
          <t>Amanda Women's Short Sleeve Shirt</t>
        </is>
      </c>
      <c r="D61" s="1">
        <v>142670</v>
      </c>
      <c r="E61" s="0" t="inlineStr">
        <is>
          <t>IOWA AMANDA W GY:142670E-2XL</t>
        </is>
      </c>
      <c r="F61" s="2">
        <v>800142670082</v>
      </c>
      <c r="G61" s="0" t="inlineStr">
        <is>
          <t>WOMENS</t>
        </is>
      </c>
      <c r="H61" s="0" t="inlineStr">
        <is>
          <t>2XL</t>
        </is>
      </c>
      <c r="I61" s="0">
        <v>32.99</v>
      </c>
      <c r="J61" s="0">
        <v>0</v>
      </c>
    </row>
    <row r="62" spans="1:10" customHeight="0">
      <c r="A62" s="0">
        <f>HYPERLINK("https://dl.dropboxusercontent.com/scl/fi/q7lxsqdjvhvx9tc3qr5od/142670-amanda-tn.jpg?rlkey=8vilvebc7xqbqxsk05yx6goid&amp;dl=0","Click to download Image")</f>
      </c>
      <c r="B62" s="0">
        <f>HYPERLINK("https://dl.dropboxusercontent.com/scl/fi/peh0u67yvagefgbzel4gd/womens-t-shirt-size-chartsamanda.jpg?rlkey=nqgsrueeit8vmp9654d87tfe2&amp;dl=0","Click to download SizeChart")</f>
      </c>
      <c r="C62" s="0" t="inlineStr">
        <is>
          <t>Amanda Women's Short Sleeve Shirt</t>
        </is>
      </c>
      <c r="D62" s="1">
        <v>142670</v>
      </c>
      <c r="E62" s="0" t="inlineStr">
        <is>
          <t>IOWA AMANDA W GY:142670F-3XL</t>
        </is>
      </c>
      <c r="F62" s="2">
        <v>800142670099</v>
      </c>
      <c r="G62" s="0" t="inlineStr">
        <is>
          <t>WOMENS</t>
        </is>
      </c>
      <c r="H62" s="0" t="inlineStr">
        <is>
          <t>3XL</t>
        </is>
      </c>
      <c r="I62" s="0">
        <v>32.99</v>
      </c>
      <c r="J62" s="0">
        <v>0</v>
      </c>
    </row>
    <row r="63" spans="1:10" customHeight="0">
      <c r="A63" s="0">
        <f>HYPERLINK("https://dl.dropboxusercontent.com/scl/fi/q7lxsqdjvhvx9tc3qr5od/142670-amanda-tn.jpg?rlkey=8vilvebc7xqbqxsk05yx6goid&amp;dl=0","Click to download Image")</f>
      </c>
      <c r="B63" s="0">
        <f>HYPERLINK("https://dl.dropboxusercontent.com/scl/fi/peh0u67yvagefgbzel4gd/womens-t-shirt-size-chartsamanda.jpg?rlkey=nqgsrueeit8vmp9654d87tfe2&amp;dl=0","Click to download SizeChart")</f>
      </c>
      <c r="C63" s="0" t="inlineStr">
        <is>
          <t>Amanda Women's Short Sleeve Shirt</t>
        </is>
      </c>
      <c r="D63" s="1">
        <v>142670</v>
      </c>
      <c r="E63" s="0" t="inlineStr">
        <is>
          <t>IOWA AMANDA W GY:142670Z-12PK</t>
        </is>
      </c>
      <c r="F63" s="2">
        <v>800142670990</v>
      </c>
      <c r="G63" s="0" t="inlineStr">
        <is>
          <t>WOMENS</t>
        </is>
      </c>
      <c r="H63" s="0" t="inlineStr">
        <is>
          <t>12 PACK</t>
        </is>
      </c>
      <c r="I63" s="0">
        <v>316.8</v>
      </c>
      <c r="J63" s="0">
        <v>0</v>
      </c>
    </row>
    <row r="64" spans="1:10" customHeight="0">
      <c r="A64" s="0">
        <f>HYPERLINK("https://dl.dropboxusercontent.com/scl/fi/98xg5dlu9ctoszdbmpyg4/avenue-141272-tn.jpg?rlkey=f22kzzi9ykjlhm6fx7gvqo384&amp;dl=0","Click to download Image")</f>
      </c>
      <c r="B64" s="0">
        <f>HYPERLINK("https://dl.dropboxusercontent.com/scl/fi/r7tly9hpolf4gbhlak9xq/womens-hoodie-and-sweatshirt-size-chartsavenue.jpg?rlkey=otm6njahhh4g0zfwaxvz0sgrw&amp;dl=0","Click to download SizeChart")</f>
      </c>
      <c r="C64" s="0" t="inlineStr">
        <is>
          <t>Avenue Women's Hoodie</t>
        </is>
      </c>
      <c r="D64" s="1">
        <v>141272</v>
      </c>
      <c r="E64" s="0" t="inlineStr">
        <is>
          <t>IOWA AVENUE W LG:141272A-S</t>
        </is>
      </c>
      <c r="F64" s="2">
        <v>800141272041</v>
      </c>
      <c r="G64" s="0" t="inlineStr">
        <is>
          <t>WOMENS</t>
        </is>
      </c>
      <c r="H64" s="0" t="inlineStr">
        <is>
          <t>S</t>
        </is>
      </c>
      <c r="I64" s="0">
        <v>69.99</v>
      </c>
      <c r="J64" s="0">
        <v>11</v>
      </c>
    </row>
    <row r="65" spans="1:10" customHeight="0">
      <c r="A65" s="0">
        <f>HYPERLINK("https://dl.dropboxusercontent.com/scl/fi/98xg5dlu9ctoszdbmpyg4/avenue-141272-tn.jpg?rlkey=f22kzzi9ykjlhm6fx7gvqo384&amp;dl=0","Click to download Image")</f>
      </c>
      <c r="B65" s="0">
        <f>HYPERLINK("https://dl.dropboxusercontent.com/scl/fi/r7tly9hpolf4gbhlak9xq/womens-hoodie-and-sweatshirt-size-chartsavenue.jpg?rlkey=otm6njahhh4g0zfwaxvz0sgrw&amp;dl=0","Click to download SizeChart")</f>
      </c>
      <c r="C65" s="0" t="inlineStr">
        <is>
          <t>Avenue Women's Hoodie</t>
        </is>
      </c>
      <c r="D65" s="1">
        <v>141272</v>
      </c>
      <c r="E65" s="0" t="inlineStr">
        <is>
          <t>IOWA AVENUE W LG:141272B-M</t>
        </is>
      </c>
      <c r="F65" s="2">
        <v>800141272058</v>
      </c>
      <c r="G65" s="0" t="inlineStr">
        <is>
          <t>WOMENS</t>
        </is>
      </c>
      <c r="H65" s="0" t="inlineStr">
        <is>
          <t>M</t>
        </is>
      </c>
      <c r="I65" s="0">
        <v>69.99</v>
      </c>
      <c r="J65" s="0">
        <v>29</v>
      </c>
    </row>
    <row r="66" spans="1:10" customHeight="0">
      <c r="A66" s="0">
        <f>HYPERLINK("https://dl.dropboxusercontent.com/scl/fi/98xg5dlu9ctoszdbmpyg4/avenue-141272-tn.jpg?rlkey=f22kzzi9ykjlhm6fx7gvqo384&amp;dl=0","Click to download Image")</f>
      </c>
      <c r="B66" s="0">
        <f>HYPERLINK("https://dl.dropboxusercontent.com/scl/fi/r7tly9hpolf4gbhlak9xq/womens-hoodie-and-sweatshirt-size-chartsavenue.jpg?rlkey=otm6njahhh4g0zfwaxvz0sgrw&amp;dl=0","Click to download SizeChart")</f>
      </c>
      <c r="C66" s="0" t="inlineStr">
        <is>
          <t>Avenue Women's Hoodie</t>
        </is>
      </c>
      <c r="D66" s="1">
        <v>141272</v>
      </c>
      <c r="E66" s="0" t="inlineStr">
        <is>
          <t>IOWA AVENUE W LG:141272C-L</t>
        </is>
      </c>
      <c r="F66" s="2">
        <v>800141272065</v>
      </c>
      <c r="G66" s="0" t="inlineStr">
        <is>
          <t>WOMENS</t>
        </is>
      </c>
      <c r="H66" s="0" t="inlineStr">
        <is>
          <t>L</t>
        </is>
      </c>
      <c r="I66" s="0">
        <v>69.99</v>
      </c>
      <c r="J66" s="0">
        <v>23</v>
      </c>
    </row>
    <row r="67" spans="1:10" customHeight="0">
      <c r="A67" s="0">
        <f>HYPERLINK("https://dl.dropboxusercontent.com/scl/fi/98xg5dlu9ctoszdbmpyg4/avenue-141272-tn.jpg?rlkey=f22kzzi9ykjlhm6fx7gvqo384&amp;dl=0","Click to download Image")</f>
      </c>
      <c r="B67" s="0">
        <f>HYPERLINK("https://dl.dropboxusercontent.com/scl/fi/r7tly9hpolf4gbhlak9xq/womens-hoodie-and-sweatshirt-size-chartsavenue.jpg?rlkey=otm6njahhh4g0zfwaxvz0sgrw&amp;dl=0","Click to download SizeChart")</f>
      </c>
      <c r="C67" s="0" t="inlineStr">
        <is>
          <t>Avenue Women's Hoodie</t>
        </is>
      </c>
      <c r="D67" s="1">
        <v>141272</v>
      </c>
      <c r="E67" s="0" t="inlineStr">
        <is>
          <t>IOWA AVENUE W LG:141272D-XL</t>
        </is>
      </c>
      <c r="F67" s="2">
        <v>800141272072</v>
      </c>
      <c r="G67" s="0" t="inlineStr">
        <is>
          <t>WOMENS</t>
        </is>
      </c>
      <c r="H67" s="0" t="inlineStr">
        <is>
          <t>XL</t>
        </is>
      </c>
      <c r="I67" s="0">
        <v>69.99</v>
      </c>
      <c r="J67" s="0">
        <v>3</v>
      </c>
    </row>
    <row r="68" spans="1:10" customHeight="0">
      <c r="A68" s="0">
        <f>HYPERLINK("https://dl.dropboxusercontent.com/scl/fi/98xg5dlu9ctoszdbmpyg4/avenue-141272-tn.jpg?rlkey=f22kzzi9ykjlhm6fx7gvqo384&amp;dl=0","Click to download Image")</f>
      </c>
      <c r="B68" s="0">
        <f>HYPERLINK("https://dl.dropboxusercontent.com/scl/fi/r7tly9hpolf4gbhlak9xq/womens-hoodie-and-sweatshirt-size-chartsavenue.jpg?rlkey=otm6njahhh4g0zfwaxvz0sgrw&amp;dl=0","Click to download SizeChart")</f>
      </c>
      <c r="C68" s="0" t="inlineStr">
        <is>
          <t>Avenue Women's Hoodie</t>
        </is>
      </c>
      <c r="D68" s="1">
        <v>141272</v>
      </c>
      <c r="E68" s="0" t="inlineStr">
        <is>
          <t>IOWA AVENUE W LG:141272E-2XL</t>
        </is>
      </c>
      <c r="F68" s="2">
        <v>800141272089</v>
      </c>
      <c r="G68" s="0" t="inlineStr">
        <is>
          <t>WOMENS</t>
        </is>
      </c>
      <c r="H68" s="0" t="inlineStr">
        <is>
          <t>2XL</t>
        </is>
      </c>
      <c r="I68" s="0">
        <v>69.99</v>
      </c>
      <c r="J68" s="0">
        <v>0</v>
      </c>
    </row>
    <row r="69" spans="1:10" customHeight="0">
      <c r="A69" s="0">
        <f>HYPERLINK("https://dl.dropboxusercontent.com/scl/fi/98xg5dlu9ctoszdbmpyg4/avenue-141272-tn.jpg?rlkey=f22kzzi9ykjlhm6fx7gvqo384&amp;dl=0","Click to download Image")</f>
      </c>
      <c r="B69" s="0">
        <f>HYPERLINK("https://dl.dropboxusercontent.com/scl/fi/r7tly9hpolf4gbhlak9xq/womens-hoodie-and-sweatshirt-size-chartsavenue.jpg?rlkey=otm6njahhh4g0zfwaxvz0sgrw&amp;dl=0","Click to download SizeChart")</f>
      </c>
      <c r="C69" s="0" t="inlineStr">
        <is>
          <t>Avenue Women's Hoodie</t>
        </is>
      </c>
      <c r="D69" s="1">
        <v>141272</v>
      </c>
      <c r="E69" s="0" t="inlineStr">
        <is>
          <t>IOWA AVENUE W LG:141272F-3XL</t>
        </is>
      </c>
      <c r="F69" s="2">
        <v>800141272096</v>
      </c>
      <c r="G69" s="0" t="inlineStr">
        <is>
          <t>WOMENS</t>
        </is>
      </c>
      <c r="H69" s="0" t="inlineStr">
        <is>
          <t>3XL</t>
        </is>
      </c>
      <c r="I69" s="0">
        <v>69.99</v>
      </c>
      <c r="J69" s="0">
        <v>0</v>
      </c>
    </row>
    <row r="70" spans="1:10" customHeight="0">
      <c r="A70" s="0">
        <f>HYPERLINK("https://dl.dropboxusercontent.com/scl/fi/98xg5dlu9ctoszdbmpyg4/avenue-141272-tn.jpg?rlkey=f22kzzi9ykjlhm6fx7gvqo384&amp;dl=0","Click to download Image")</f>
      </c>
      <c r="B70" s="0">
        <f>HYPERLINK("https://dl.dropboxusercontent.com/scl/fi/r7tly9hpolf4gbhlak9xq/womens-hoodie-and-sweatshirt-size-chartsavenue.jpg?rlkey=otm6njahhh4g0zfwaxvz0sgrw&amp;dl=0","Click to download SizeChart")</f>
      </c>
      <c r="C70" s="0" t="inlineStr">
        <is>
          <t>Avenue Women's Hoodie</t>
        </is>
      </c>
      <c r="D70" s="1">
        <v>141272</v>
      </c>
      <c r="E70" s="0" t="inlineStr">
        <is>
          <t>IOWA AVENUE W LG:141272Z-12PK</t>
        </is>
      </c>
      <c r="F70" s="2">
        <v>800141272997</v>
      </c>
      <c r="G70" s="0" t="inlineStr">
        <is>
          <t>WOMENS</t>
        </is>
      </c>
      <c r="H70" s="0" t="inlineStr">
        <is>
          <t>12 PACK</t>
        </is>
      </c>
      <c r="I70" s="0">
        <v>672</v>
      </c>
      <c r="J70" s="0">
        <v>0</v>
      </c>
    </row>
    <row r="71" spans="1:10" customHeight="0">
      <c r="A71" s="0">
        <f>HYPERLINK("https://dl.dropboxusercontent.com/scl/fi/ezxrlh7s3ac72i0gilqp7/amanda-143055-tn.jpg?rlkey=ee40tfi5lx9lb3yik2oqmbjhn&amp;dl=0","Click to download Image")</f>
      </c>
      <c r="B71" s="0">
        <f>HYPERLINK("https://dl.dropboxusercontent.com/scl/fi/qsoiasajfqc4gc46fu7s6/tdlr-yth-t-shirt-size-chartsamanda.jpg?rlkey=8uct8v3eih8dcmyemqgcopn5h&amp;dl=0","Click to download SizeChart")</f>
      </c>
      <c r="C71" s="0" t="inlineStr">
        <is>
          <t>Amanda Youth Short Sleeve Shirt</t>
        </is>
      </c>
      <c r="D71" s="1">
        <v>43055</v>
      </c>
      <c r="E71" s="0" t="inlineStr">
        <is>
          <t>IOWA AMANDA Y BK:Y143055B-YS</t>
        </is>
      </c>
      <c r="F71" s="2">
        <v>800143055017</v>
      </c>
      <c r="G71" s="0" t="inlineStr">
        <is>
          <t>YOUTH</t>
        </is>
      </c>
      <c r="H71" s="0" t="inlineStr">
        <is>
          <t>YS</t>
        </is>
      </c>
      <c r="I71" s="0">
        <v>29.99</v>
      </c>
      <c r="J71" s="0">
        <v>1</v>
      </c>
    </row>
    <row r="72" spans="1:10" customHeight="0">
      <c r="A72" s="0">
        <f>HYPERLINK("https://dl.dropboxusercontent.com/scl/fi/ezxrlh7s3ac72i0gilqp7/amanda-143055-tn.jpg?rlkey=ee40tfi5lx9lb3yik2oqmbjhn&amp;dl=0","Click to download Image")</f>
      </c>
      <c r="B72" s="0">
        <f>HYPERLINK("https://dl.dropboxusercontent.com/scl/fi/qsoiasajfqc4gc46fu7s6/tdlr-yth-t-shirt-size-chartsamanda.jpg?rlkey=8uct8v3eih8dcmyemqgcopn5h&amp;dl=0","Click to download SizeChart")</f>
      </c>
      <c r="C72" s="0" t="inlineStr">
        <is>
          <t>Amanda Youth Short Sleeve Shirt</t>
        </is>
      </c>
      <c r="D72" s="1">
        <v>43055</v>
      </c>
      <c r="E72" s="0" t="inlineStr">
        <is>
          <t>IOWA AMANDA Y BK:Y143055C-YM</t>
        </is>
      </c>
      <c r="F72" s="2">
        <v>800143055024</v>
      </c>
      <c r="G72" s="0" t="inlineStr">
        <is>
          <t>YOUTH</t>
        </is>
      </c>
      <c r="H72" s="0" t="inlineStr">
        <is>
          <t>YM</t>
        </is>
      </c>
      <c r="I72" s="0">
        <v>29.99</v>
      </c>
      <c r="J72" s="0">
        <v>0</v>
      </c>
    </row>
    <row r="73" spans="1:10" customHeight="0">
      <c r="A73" s="0">
        <f>HYPERLINK("https://dl.dropboxusercontent.com/scl/fi/ezxrlh7s3ac72i0gilqp7/amanda-143055-tn.jpg?rlkey=ee40tfi5lx9lb3yik2oqmbjhn&amp;dl=0","Click to download Image")</f>
      </c>
      <c r="B73" s="0">
        <f>HYPERLINK("https://dl.dropboxusercontent.com/scl/fi/qsoiasajfqc4gc46fu7s6/tdlr-yth-t-shirt-size-chartsamanda.jpg?rlkey=8uct8v3eih8dcmyemqgcopn5h&amp;dl=0","Click to download SizeChart")</f>
      </c>
      <c r="C73" s="0" t="inlineStr">
        <is>
          <t>Amanda Youth Short Sleeve Shirt</t>
        </is>
      </c>
      <c r="D73" s="1">
        <v>43055</v>
      </c>
      <c r="E73" s="0" t="inlineStr">
        <is>
          <t>IOWA AMANDA Y BK:Y143055D-YL</t>
        </is>
      </c>
      <c r="F73" s="2">
        <v>800143055031</v>
      </c>
      <c r="G73" s="0" t="inlineStr">
        <is>
          <t>YOUTH</t>
        </is>
      </c>
      <c r="H73" s="0" t="inlineStr">
        <is>
          <t>YL</t>
        </is>
      </c>
      <c r="I73" s="0">
        <v>29.99</v>
      </c>
      <c r="J73" s="0">
        <v>0</v>
      </c>
    </row>
    <row r="74" spans="1:10" customHeight="0">
      <c r="A74" s="0">
        <f>HYPERLINK("https://dl.dropboxusercontent.com/scl/fi/ezxrlh7s3ac72i0gilqp7/amanda-143055-tn.jpg?rlkey=ee40tfi5lx9lb3yik2oqmbjhn&amp;dl=0","Click to download Image")</f>
      </c>
      <c r="B74" s="0">
        <f>HYPERLINK("https://dl.dropboxusercontent.com/scl/fi/qsoiasajfqc4gc46fu7s6/tdlr-yth-t-shirt-size-chartsamanda.jpg?rlkey=8uct8v3eih8dcmyemqgcopn5h&amp;dl=0","Click to download SizeChart")</f>
      </c>
      <c r="C74" s="0" t="inlineStr">
        <is>
          <t>Amanda Youth Short Sleeve Shirt</t>
        </is>
      </c>
      <c r="D74" s="1">
        <v>43055</v>
      </c>
      <c r="E74" s="0" t="inlineStr">
        <is>
          <t>IOWA AMANDA Y BK:Y143055E-YXL</t>
        </is>
      </c>
      <c r="F74" s="2">
        <v>800143055048</v>
      </c>
      <c r="G74" s="0" t="inlineStr">
        <is>
          <t>YOUTH</t>
        </is>
      </c>
      <c r="H74" s="0" t="inlineStr">
        <is>
          <t>YXL</t>
        </is>
      </c>
      <c r="I74" s="0">
        <v>29.99</v>
      </c>
      <c r="J74" s="0">
        <v>0</v>
      </c>
    </row>
    <row r="75" spans="1:10" customHeight="0">
      <c r="A75" s="0">
        <f>HYPERLINK("https://dl.dropboxusercontent.com/scl/fi/ezxrlh7s3ac72i0gilqp7/amanda-143055-tn.jpg?rlkey=ee40tfi5lx9lb3yik2oqmbjhn&amp;dl=0","Click to download Image")</f>
      </c>
      <c r="B75" s="0">
        <f>HYPERLINK("https://dl.dropboxusercontent.com/scl/fi/qsoiasajfqc4gc46fu7s6/tdlr-yth-t-shirt-size-chartsamanda.jpg?rlkey=8uct8v3eih8dcmyemqgcopn5h&amp;dl=0","Click to download SizeChart")</f>
      </c>
      <c r="C75" s="0" t="inlineStr">
        <is>
          <t>Amanda Youth Short Sleeve Shirt</t>
        </is>
      </c>
      <c r="D75" s="1">
        <v>43055</v>
      </c>
      <c r="E75" s="0" t="inlineStr">
        <is>
          <t>IOWA AMANDA Y BK:Y143055Z-12PK</t>
        </is>
      </c>
      <c r="F75" s="2">
        <v>800143055994</v>
      </c>
      <c r="G75" s="0" t="inlineStr">
        <is>
          <t>YOUTH</t>
        </is>
      </c>
      <c r="H75" s="0" t="inlineStr">
        <is>
          <t>12 PACK</t>
        </is>
      </c>
      <c r="I75" s="0">
        <v>288</v>
      </c>
      <c r="J75" s="0">
        <v>0</v>
      </c>
    </row>
    <row r="76" spans="1:10" customHeight="0">
      <c r="A76" s="0">
        <f>HYPERLINK("https://dl.dropboxusercontent.com/scl/fi/x2by8qvmifkzjll0590xb/gideon45794.jpg?rlkey=i72fy876q7ge0llsf5pnt0d8a&amp;dl=0","Click to download Image")</f>
      </c>
      <c r="C76" s="0" t="inlineStr">
        <is>
          <t>Gideon Toddler Tank Top And Shorts</t>
        </is>
      </c>
      <c r="D76" s="1">
        <v>132707</v>
      </c>
      <c r="E76" s="0" t="inlineStr">
        <is>
          <t>IOWA GIDEON T BK:132707A-2T</t>
        </is>
      </c>
      <c r="F76" s="2">
        <v>800132707002</v>
      </c>
      <c r="G76" s="0" t="inlineStr">
        <is>
          <t>TODDLER</t>
        </is>
      </c>
      <c r="H76" s="0" t="inlineStr">
        <is>
          <t>2T</t>
        </is>
      </c>
      <c r="I76" s="0">
        <v>34.99</v>
      </c>
      <c r="J76" s="0">
        <v>9</v>
      </c>
    </row>
    <row r="77" spans="1:10" customHeight="0">
      <c r="A77" s="0">
        <f>HYPERLINK("https://dl.dropboxusercontent.com/scl/fi/x2by8qvmifkzjll0590xb/gideon45794.jpg?rlkey=i72fy876q7ge0llsf5pnt0d8a&amp;dl=0","Click to download Image")</f>
      </c>
      <c r="C77" s="0" t="inlineStr">
        <is>
          <t>Gideon Toddler Tank Top And Shorts</t>
        </is>
      </c>
      <c r="D77" s="1">
        <v>132707</v>
      </c>
      <c r="E77" s="0" t="inlineStr">
        <is>
          <t>IOWA GIDEON T BK:132707B-3T</t>
        </is>
      </c>
      <c r="F77" s="2">
        <v>800132707019</v>
      </c>
      <c r="G77" s="0" t="inlineStr">
        <is>
          <t>TODDLER</t>
        </is>
      </c>
      <c r="H77" s="0" t="inlineStr">
        <is>
          <t>3T</t>
        </is>
      </c>
      <c r="I77" s="0">
        <v>34.99</v>
      </c>
      <c r="J77" s="0">
        <v>7</v>
      </c>
    </row>
    <row r="78" spans="1:10" customHeight="0">
      <c r="A78" s="0">
        <f>HYPERLINK("https://dl.dropboxusercontent.com/scl/fi/x2by8qvmifkzjll0590xb/gideon45794.jpg?rlkey=i72fy876q7ge0llsf5pnt0d8a&amp;dl=0","Click to download Image")</f>
      </c>
      <c r="C78" s="0" t="inlineStr">
        <is>
          <t>Gideon Toddler Tank Top And Shorts</t>
        </is>
      </c>
      <c r="D78" s="1">
        <v>132707</v>
      </c>
      <c r="E78" s="0" t="inlineStr">
        <is>
          <t>IOWA GIDEON T BK:132707C-4T</t>
        </is>
      </c>
      <c r="F78" s="2">
        <v>800132707026</v>
      </c>
      <c r="G78" s="0" t="inlineStr">
        <is>
          <t>TODDLER</t>
        </is>
      </c>
      <c r="H78" s="0" t="inlineStr">
        <is>
          <t>4T</t>
        </is>
      </c>
      <c r="I78" s="0">
        <v>34.99</v>
      </c>
      <c r="J78" s="0">
        <v>4</v>
      </c>
    </row>
    <row r="79" spans="1:10" customHeight="0">
      <c r="A79" s="0">
        <f>HYPERLINK("https://dl.dropboxusercontent.com/scl/fi/x2by8qvmifkzjll0590xb/gideon45794.jpg?rlkey=i72fy876q7ge0llsf5pnt0d8a&amp;dl=0","Click to download Image")</f>
      </c>
      <c r="C79" s="0" t="inlineStr">
        <is>
          <t>Gideon Toddler Tank Top And Shorts</t>
        </is>
      </c>
      <c r="D79" s="1">
        <v>132707</v>
      </c>
      <c r="E79" s="0" t="inlineStr">
        <is>
          <t>IOWA GIDEON T BK:132707D-5T</t>
        </is>
      </c>
      <c r="F79" s="2">
        <v>800132707033</v>
      </c>
      <c r="G79" s="0" t="inlineStr">
        <is>
          <t>TODDLER</t>
        </is>
      </c>
      <c r="H79" s="0" t="inlineStr">
        <is>
          <t>5T</t>
        </is>
      </c>
      <c r="I79" s="0">
        <v>34.99</v>
      </c>
      <c r="J79" s="0">
        <v>6</v>
      </c>
    </row>
    <row r="80" spans="1:10" customHeight="0">
      <c r="A80" s="0">
        <f>HYPERLINK("https://dl.dropboxusercontent.com/scl/fi/x2by8qvmifkzjll0590xb/gideon45794.jpg?rlkey=i72fy876q7ge0llsf5pnt0d8a&amp;dl=0","Click to download Image")</f>
      </c>
      <c r="C80" s="0" t="inlineStr">
        <is>
          <t>Gideon Toddler Tank Top And Shorts</t>
        </is>
      </c>
      <c r="D80" s="1">
        <v>132707</v>
      </c>
      <c r="E80" s="0" t="inlineStr">
        <is>
          <t>IOWA GIDEON T BK:132707Z-12PK</t>
        </is>
      </c>
      <c r="F80" s="2">
        <v>800132707996</v>
      </c>
      <c r="G80" s="0" t="inlineStr">
        <is>
          <t>TODDLER</t>
        </is>
      </c>
      <c r="H80" s="0" t="inlineStr">
        <is>
          <t>12 PACK</t>
        </is>
      </c>
      <c r="I80" s="0">
        <v>336</v>
      </c>
      <c r="J80" s="0">
        <v>0</v>
      </c>
    </row>
    <row r="81" spans="1:10" customHeight="0">
      <c r="A81" s="0">
        <f>HYPERLINK("https://dl.dropboxusercontent.com/scl/fi/q8316bz5rvu1t9n71mlw4/lance-138435-tn.jpg?rlkey=qqutlwh4b7zxmzf5nisuodglc&amp;dl=0","Click to download Image")</f>
      </c>
      <c r="C81" s="0" t="inlineStr">
        <is>
          <t>Lance Men's Cap</t>
        </is>
      </c>
      <c r="D81" s="1">
        <v>138435</v>
      </c>
      <c r="E81" s="0" t="inlineStr">
        <is>
          <t>IOWA LANCE A BK:138435</t>
        </is>
      </c>
      <c r="F81" s="2">
        <v>700138435001</v>
      </c>
      <c r="G81" s="0" t="inlineStr">
        <is>
          <t>MENS</t>
        </is>
      </c>
      <c r="H81" s="0" t="inlineStr">
        <is>
          <t>STANDARD MENS</t>
        </is>
      </c>
      <c r="I81" s="0">
        <v>24.99</v>
      </c>
      <c r="J81" s="0">
        <v>59</v>
      </c>
    </row>
    <row r="82" spans="1:10" customHeight="0">
      <c r="A82" s="0">
        <f>HYPERLINK("https://dl.dropboxusercontent.com/scl/fi/edzf1o0ggri34k5gur3m4/5x3a84632.jpg?rlkey=yfdxgj9xlf2pocz22hemnitor&amp;dl=0","Click to download Image")</f>
      </c>
      <c r="C82" s="0" t="inlineStr">
        <is>
          <t>Andrea Women's Cap</t>
        </is>
      </c>
      <c r="D82" s="1">
        <v>135656</v>
      </c>
      <c r="E82" s="0" t="inlineStr">
        <is>
          <t>IOWA ANDREA A BK:135656</t>
        </is>
      </c>
      <c r="F82" s="2">
        <v>700135656010</v>
      </c>
      <c r="G82" s="0" t="inlineStr">
        <is>
          <t>WOMENS</t>
        </is>
      </c>
      <c r="H82" s="0" t="inlineStr">
        <is>
          <t>WOMENS</t>
        </is>
      </c>
      <c r="I82" s="0">
        <v>24.99</v>
      </c>
      <c r="J82" s="0">
        <v>11</v>
      </c>
    </row>
    <row r="83" spans="1:10" customHeight="0">
      <c r="A83" s="0">
        <f>HYPERLINK("https://dl.dropboxusercontent.com/scl/fi/2b3fc5s41j7v6afe485n9/wynn-137583-tn.jpg?rlkey=h0gk93zdo71lm6gyem28bml6n&amp;dl=0","Click to download Image")</f>
      </c>
      <c r="C83" s="0" t="inlineStr">
        <is>
          <t>Wynn Women's Cap</t>
        </is>
      </c>
      <c r="D83" s="1">
        <v>137583</v>
      </c>
      <c r="E83" s="0" t="inlineStr">
        <is>
          <t>IOWA WYNN A BK:137583</t>
        </is>
      </c>
      <c r="F83" s="2">
        <v>700137583017</v>
      </c>
      <c r="G83" s="0" t="inlineStr">
        <is>
          <t>WOMENS</t>
        </is>
      </c>
      <c r="H83" s="0" t="inlineStr">
        <is>
          <t>WOMENS</t>
        </is>
      </c>
      <c r="I83" s="0">
        <v>24.99</v>
      </c>
      <c r="J83" s="0">
        <v>105</v>
      </c>
    </row>
    <row r="84" spans="1:10" customHeight="0">
      <c r="A84" s="0">
        <f>HYPERLINK("https://dl.dropboxusercontent.com/scl/fi/xtryn3z9kp1ih5z63n41v/miles-138662-tn.jpg?rlkey=ncjshxfkuz81kqkqbeum2f3nt&amp;dl=0","Click to download Image")</f>
      </c>
      <c r="C84" s="0" t="inlineStr">
        <is>
          <t>Miles Youth Cap</t>
        </is>
      </c>
      <c r="D84" s="1">
        <v>138662</v>
      </c>
      <c r="E84" s="0" t="inlineStr">
        <is>
          <t>IOWA MILES Y CO:Y138662</t>
        </is>
      </c>
      <c r="F84" s="2">
        <v>700138662032</v>
      </c>
      <c r="G84" s="0" t="inlineStr">
        <is>
          <t>YOUTH</t>
        </is>
      </c>
      <c r="H84" s="0" t="inlineStr">
        <is>
          <t>YOUTH</t>
        </is>
      </c>
      <c r="I84" s="0">
        <v>24.99</v>
      </c>
      <c r="J84" s="0">
        <v>38</v>
      </c>
    </row>
    <row r="85" spans="1:10" customHeight="0">
      <c r="A85" s="0">
        <f>HYPERLINK("https://dl.dropboxusercontent.com/scl/fi/xcuquyymn55pfa16u39r6/blaine-137337-tn.jpg?rlkey=0e8kasdeb76jblhpgdk85j2y5&amp;dl=0","Click to download Image")</f>
      </c>
      <c r="C85" s="0" t="inlineStr">
        <is>
          <t>Blaine Infant Cap</t>
        </is>
      </c>
      <c r="D85" s="1">
        <v>137337</v>
      </c>
      <c r="E85" s="0" t="inlineStr">
        <is>
          <t>IOWA BLAINE I BK:137337</t>
        </is>
      </c>
      <c r="F85" s="2">
        <v>700137337054</v>
      </c>
      <c r="G85" s="0" t="inlineStr">
        <is>
          <t>YOUTH</t>
        </is>
      </c>
      <c r="H85" s="0" t="inlineStr">
        <is>
          <t>YOUTH</t>
        </is>
      </c>
      <c r="I85" s="0">
        <v>24.99</v>
      </c>
      <c r="J85" s="0">
        <v>23</v>
      </c>
    </row>
    <row r="86" spans="1:10" customHeight="0">
      <c r="A86" s="0">
        <f>HYPERLINK("https://dl.dropboxusercontent.com/scl/fi/0ghpqhitkjh5udenu00x0/viv-137809-tn.jpg?rlkey=lj8ylaumbwa204ma4znth3vv6&amp;dl=0","Click to download Image")</f>
      </c>
      <c r="C86" s="0" t="inlineStr">
        <is>
          <t>Viv Women's Beanie</t>
        </is>
      </c>
      <c r="D86" s="1">
        <v>137809</v>
      </c>
      <c r="E86" s="0" t="inlineStr">
        <is>
          <t>IOWA VIV W BK:137809</t>
        </is>
      </c>
      <c r="F86" s="2">
        <v>700137809018</v>
      </c>
      <c r="G86" s="0" t="inlineStr">
        <is>
          <t>WOMENS</t>
        </is>
      </c>
      <c r="H86" s="0" t="inlineStr">
        <is>
          <t>ADULT</t>
        </is>
      </c>
      <c r="I86" s="0">
        <v>29.99</v>
      </c>
      <c r="J86" s="0">
        <v>1</v>
      </c>
    </row>
    <row r="87" spans="1:10" customHeight="0">
      <c r="A87" s="0">
        <f>HYPERLINK("https://dl.dropboxusercontent.com/scl/fi/vy8dt8t1ucrua8u1j7990/durant-135979-tn.jpg?rlkey=djwvijx8nb3481nzv771jnh8f&amp;dl=0","Click to download Image")</f>
      </c>
      <c r="C87" s="0" t="inlineStr">
        <is>
          <t>Durant Men's Cap</t>
        </is>
      </c>
      <c r="D87" s="1">
        <v>135979</v>
      </c>
      <c r="E87" s="0" t="inlineStr">
        <is>
          <t>IOWA DURANT A BK:135979</t>
        </is>
      </c>
      <c r="F87" s="2">
        <v>700135979003</v>
      </c>
      <c r="G87" s="0" t="inlineStr">
        <is>
          <t>MENS</t>
        </is>
      </c>
      <c r="H87" s="0" t="inlineStr">
        <is>
          <t>STANDARD MENS</t>
        </is>
      </c>
      <c r="I87" s="0">
        <v>24.99</v>
      </c>
      <c r="J87" s="0">
        <v>123</v>
      </c>
    </row>
    <row r="88" spans="1:10" customHeight="0">
      <c r="A88" s="0">
        <f>HYPERLINK("https://dl.dropboxusercontent.com/scl/fi/ej15rowfv99kd1ud6i8wb/weditdsc2746.jpg?rlkey=22wd26t8bok3okkwxa45a9f02&amp;dl=0","Click to download Image")</f>
      </c>
      <c r="C88" s="0" t="inlineStr">
        <is>
          <t>Vos Toddler Beanie</t>
        </is>
      </c>
      <c r="D88" s="1">
        <v>135821</v>
      </c>
      <c r="E88" s="0" t="inlineStr">
        <is>
          <t>IOWA VOS T BK:T135821</t>
        </is>
      </c>
      <c r="F88" s="2">
        <v>700135821012</v>
      </c>
      <c r="G88" s="0" t="inlineStr">
        <is>
          <t>TODDLER</t>
        </is>
      </c>
      <c r="H88" s="0" t="inlineStr">
        <is>
          <t>TODDLER</t>
        </is>
      </c>
      <c r="I88" s="0">
        <v>24.99</v>
      </c>
      <c r="J88" s="0">
        <v>7</v>
      </c>
    </row>
    <row r="89" spans="1:10" customHeight="0">
      <c r="A89" s="0">
        <f>HYPERLINK("https://dl.dropboxusercontent.com/scl/fi/7vtpdt0l4cpnz5pha3c9k/w5x3a8668.jpg?rlkey=n3yeixz04ru6k3p8libw0be6a&amp;dl=0","Click to download Image")</f>
      </c>
      <c r="C89" s="0" t="inlineStr">
        <is>
          <t>Clear Relay Sling Bag</t>
        </is>
      </c>
      <c r="D89" s="1">
        <v>138709</v>
      </c>
      <c r="E89" s="0" t="inlineStr">
        <is>
          <t>IOWA RELAY CR:138709</t>
        </is>
      </c>
      <c r="F89" s="2">
        <v>900138709014</v>
      </c>
      <c r="I89" s="0">
        <v>24.99</v>
      </c>
      <c r="J89" s="0">
        <v>20</v>
      </c>
    </row>
    <row r="90" spans="1:10" customHeight="0">
      <c r="A90" s="0">
        <f>HYPERLINK("https://dl.dropboxusercontent.com/scl/fi/22wr3lr9jb1tnmmpl63em/blaise-139248-tn.jpg?rlkey=1415u2b72akggahab8f4opc84&amp;dl=0","Click to download Image")</f>
      </c>
      <c r="B90" s="0">
        <f>HYPERLINK("https://dl.dropboxusercontent.com/scl/fi/ew346f5my3kgzlnl1vptn/mens-pullover-size-chartsblaise.jpg?rlkey=36zlrkb81qdyuzkp9dpwr4b63&amp;dl=0","Click to download SizeChart")</f>
      </c>
      <c r="C90" s="0" t="inlineStr">
        <is>
          <t>Blaise Men's Pullover</t>
        </is>
      </c>
      <c r="D90" s="1">
        <v>139248</v>
      </c>
      <c r="E90" s="0" t="inlineStr">
        <is>
          <t>IOWA BLAISE M OG:139248A-S</t>
        </is>
      </c>
      <c r="F90" s="2">
        <v>800139248041</v>
      </c>
      <c r="G90" s="0" t="inlineStr">
        <is>
          <t>MENS</t>
        </is>
      </c>
      <c r="H90" s="0" t="inlineStr">
        <is>
          <t>S</t>
        </is>
      </c>
      <c r="I90" s="0">
        <v>59.99</v>
      </c>
      <c r="J90" s="0">
        <v>1</v>
      </c>
    </row>
    <row r="91" spans="1:10" customHeight="0">
      <c r="A91" s="0">
        <f>HYPERLINK("https://dl.dropboxusercontent.com/scl/fi/22wr3lr9jb1tnmmpl63em/blaise-139248-tn.jpg?rlkey=1415u2b72akggahab8f4opc84&amp;dl=0","Click to download Image")</f>
      </c>
      <c r="B91" s="0">
        <f>HYPERLINK("https://dl.dropboxusercontent.com/scl/fi/ew346f5my3kgzlnl1vptn/mens-pullover-size-chartsblaise.jpg?rlkey=36zlrkb81qdyuzkp9dpwr4b63&amp;dl=0","Click to download SizeChart")</f>
      </c>
      <c r="C91" s="0" t="inlineStr">
        <is>
          <t>Blaise Men's Pullover</t>
        </is>
      </c>
      <c r="D91" s="1">
        <v>139248</v>
      </c>
      <c r="E91" s="0" t="inlineStr">
        <is>
          <t>IOWA BLAISE M OG:139248B-M</t>
        </is>
      </c>
      <c r="F91" s="2">
        <v>800139248058</v>
      </c>
      <c r="G91" s="0" t="inlineStr">
        <is>
          <t>MENS</t>
        </is>
      </c>
      <c r="H91" s="0" t="inlineStr">
        <is>
          <t>M</t>
        </is>
      </c>
      <c r="I91" s="0">
        <v>59.99</v>
      </c>
      <c r="J91" s="0">
        <v>0</v>
      </c>
    </row>
    <row r="92" spans="1:10" customHeight="0">
      <c r="A92" s="0">
        <f>HYPERLINK("https://dl.dropboxusercontent.com/scl/fi/22wr3lr9jb1tnmmpl63em/blaise-139248-tn.jpg?rlkey=1415u2b72akggahab8f4opc84&amp;dl=0","Click to download Image")</f>
      </c>
      <c r="B92" s="0">
        <f>HYPERLINK("https://dl.dropboxusercontent.com/scl/fi/ew346f5my3kgzlnl1vptn/mens-pullover-size-chartsblaise.jpg?rlkey=36zlrkb81qdyuzkp9dpwr4b63&amp;dl=0","Click to download SizeChart")</f>
      </c>
      <c r="C92" s="0" t="inlineStr">
        <is>
          <t>Blaise Men's Pullover</t>
        </is>
      </c>
      <c r="D92" s="1">
        <v>139248</v>
      </c>
      <c r="E92" s="0" t="inlineStr">
        <is>
          <t>IOWA BLAISE M OG:139248C-L</t>
        </is>
      </c>
      <c r="F92" s="2">
        <v>800139248065</v>
      </c>
      <c r="G92" s="0" t="inlineStr">
        <is>
          <t>MENS</t>
        </is>
      </c>
      <c r="H92" s="0" t="inlineStr">
        <is>
          <t>L</t>
        </is>
      </c>
      <c r="I92" s="0">
        <v>59.99</v>
      </c>
      <c r="J92" s="0">
        <v>0</v>
      </c>
    </row>
    <row r="93" spans="1:10" customHeight="0">
      <c r="A93" s="0">
        <f>HYPERLINK("https://dl.dropboxusercontent.com/scl/fi/22wr3lr9jb1tnmmpl63em/blaise-139248-tn.jpg?rlkey=1415u2b72akggahab8f4opc84&amp;dl=0","Click to download Image")</f>
      </c>
      <c r="B93" s="0">
        <f>HYPERLINK("https://dl.dropboxusercontent.com/scl/fi/ew346f5my3kgzlnl1vptn/mens-pullover-size-chartsblaise.jpg?rlkey=36zlrkb81qdyuzkp9dpwr4b63&amp;dl=0","Click to download SizeChart")</f>
      </c>
      <c r="C93" s="0" t="inlineStr">
        <is>
          <t>Blaise Men's Pullover</t>
        </is>
      </c>
      <c r="D93" s="1">
        <v>139248</v>
      </c>
      <c r="E93" s="0" t="inlineStr">
        <is>
          <t>IOWA BLAISE M OG:139248D-XL</t>
        </is>
      </c>
      <c r="F93" s="2">
        <v>800139248072</v>
      </c>
      <c r="G93" s="0" t="inlineStr">
        <is>
          <t>MENS</t>
        </is>
      </c>
      <c r="H93" s="0" t="inlineStr">
        <is>
          <t>XL</t>
        </is>
      </c>
      <c r="I93" s="0">
        <v>59.99</v>
      </c>
      <c r="J93" s="0">
        <v>0</v>
      </c>
    </row>
    <row r="94" spans="1:10" customHeight="0">
      <c r="A94" s="0">
        <f>HYPERLINK("https://dl.dropboxusercontent.com/scl/fi/22wr3lr9jb1tnmmpl63em/blaise-139248-tn.jpg?rlkey=1415u2b72akggahab8f4opc84&amp;dl=0","Click to download Image")</f>
      </c>
      <c r="B94" s="0">
        <f>HYPERLINK("https://dl.dropboxusercontent.com/scl/fi/ew346f5my3kgzlnl1vptn/mens-pullover-size-chartsblaise.jpg?rlkey=36zlrkb81qdyuzkp9dpwr4b63&amp;dl=0","Click to download SizeChart")</f>
      </c>
      <c r="C94" s="0" t="inlineStr">
        <is>
          <t>Blaise Men's Pullover</t>
        </is>
      </c>
      <c r="D94" s="1">
        <v>139248</v>
      </c>
      <c r="E94" s="0" t="inlineStr">
        <is>
          <t>IOWA BLAISE M OG:139248E-2XL</t>
        </is>
      </c>
      <c r="F94" s="2">
        <v>800139248089</v>
      </c>
      <c r="G94" s="0" t="inlineStr">
        <is>
          <t>MENS</t>
        </is>
      </c>
      <c r="H94" s="0" t="inlineStr">
        <is>
          <t>2XL</t>
        </is>
      </c>
      <c r="I94" s="0">
        <v>59.99</v>
      </c>
      <c r="J94" s="0">
        <v>0</v>
      </c>
    </row>
    <row r="95" spans="1:10" customHeight="0">
      <c r="A95" s="0">
        <f>HYPERLINK("https://dl.dropboxusercontent.com/scl/fi/22wr3lr9jb1tnmmpl63em/blaise-139248-tn.jpg?rlkey=1415u2b72akggahab8f4opc84&amp;dl=0","Click to download Image")</f>
      </c>
      <c r="B95" s="0">
        <f>HYPERLINK("https://dl.dropboxusercontent.com/scl/fi/ew346f5my3kgzlnl1vptn/mens-pullover-size-chartsblaise.jpg?rlkey=36zlrkb81qdyuzkp9dpwr4b63&amp;dl=0","Click to download SizeChart")</f>
      </c>
      <c r="C95" s="0" t="inlineStr">
        <is>
          <t>Blaise Men's Pullover</t>
        </is>
      </c>
      <c r="D95" s="1">
        <v>139248</v>
      </c>
      <c r="E95" s="0" t="inlineStr">
        <is>
          <t>IOWA BLAISE M OG:139248F-3XL</t>
        </is>
      </c>
      <c r="F95" s="2">
        <v>800139248096</v>
      </c>
      <c r="G95" s="0" t="inlineStr">
        <is>
          <t>MENS</t>
        </is>
      </c>
      <c r="H95" s="0" t="inlineStr">
        <is>
          <t>3XL</t>
        </is>
      </c>
      <c r="I95" s="0">
        <v>59.99</v>
      </c>
      <c r="J95" s="0">
        <v>0</v>
      </c>
    </row>
    <row r="96" spans="1:10" customHeight="0">
      <c r="A96" s="0">
        <f>HYPERLINK("https://dl.dropboxusercontent.com/scl/fi/22wr3lr9jb1tnmmpl63em/blaise-139248-tn.jpg?rlkey=1415u2b72akggahab8f4opc84&amp;dl=0","Click to download Image")</f>
      </c>
      <c r="B96" s="0">
        <f>HYPERLINK("https://dl.dropboxusercontent.com/scl/fi/ew346f5my3kgzlnl1vptn/mens-pullover-size-chartsblaise.jpg?rlkey=36zlrkb81qdyuzkp9dpwr4b63&amp;dl=0","Click to download SizeChart")</f>
      </c>
      <c r="C96" s="0" t="inlineStr">
        <is>
          <t>Blaise Men's Pullover</t>
        </is>
      </c>
      <c r="D96" s="1">
        <v>139248</v>
      </c>
      <c r="E96" s="0" t="inlineStr">
        <is>
          <t>IOWA BLAISE M OG:139248Z-12PK</t>
        </is>
      </c>
      <c r="F96" s="2">
        <v>800139248997</v>
      </c>
      <c r="G96" s="0" t="inlineStr">
        <is>
          <t>MENS</t>
        </is>
      </c>
      <c r="H96" s="0" t="inlineStr">
        <is>
          <t>12 PACK</t>
        </is>
      </c>
      <c r="I96" s="0">
        <v>582</v>
      </c>
      <c r="J96" s="0">
        <v>0</v>
      </c>
    </row>
    <row r="97" spans="1:10" customHeight="0">
      <c r="A97" s="0">
        <f>HYPERLINK("https://dl.dropboxusercontent.com/scl/fi/f5kbfrztkk9y7p46il51k/williamia.jpg?rlkey=x575kef1ak4h7n5vr98qgr07a&amp;dl=0","Click to download Image")</f>
      </c>
      <c r="B97" s="0">
        <f>HYPERLINK("https://dl.dropboxusercontent.com/scl/fi/ixjnm3shbpmo827bttk7o/mens-jackets-size-chartswilliam.jpg?rlkey=3ao81llzkz6jgoc7bsicdxpzc&amp;dl=0","Click to download SizeChart")</f>
      </c>
      <c r="C97" s="0" t="inlineStr">
        <is>
          <t>William Men's Jacket</t>
        </is>
      </c>
      <c r="D97" s="1">
        <v>136292</v>
      </c>
      <c r="E97" s="0" t="inlineStr">
        <is>
          <t>IOWA WILLIA M BK:136292A-S</t>
        </is>
      </c>
      <c r="F97" s="2">
        <v>800136292047</v>
      </c>
      <c r="G97" s="0" t="inlineStr">
        <is>
          <t>MENS</t>
        </is>
      </c>
      <c r="H97" s="0" t="inlineStr">
        <is>
          <t>S</t>
        </is>
      </c>
      <c r="I97" s="0">
        <v>109.99</v>
      </c>
      <c r="J97" s="0">
        <v>0</v>
      </c>
    </row>
    <row r="98" spans="1:10" customHeight="0">
      <c r="A98" s="0">
        <f>HYPERLINK("https://dl.dropboxusercontent.com/scl/fi/f5kbfrztkk9y7p46il51k/williamia.jpg?rlkey=x575kef1ak4h7n5vr98qgr07a&amp;dl=0","Click to download Image")</f>
      </c>
      <c r="B98" s="0">
        <f>HYPERLINK("https://dl.dropboxusercontent.com/scl/fi/ixjnm3shbpmo827bttk7o/mens-jackets-size-chartswilliam.jpg?rlkey=3ao81llzkz6jgoc7bsicdxpzc&amp;dl=0","Click to download SizeChart")</f>
      </c>
      <c r="C98" s="0" t="inlineStr">
        <is>
          <t>William Men's Jacket</t>
        </is>
      </c>
      <c r="D98" s="1">
        <v>136292</v>
      </c>
      <c r="E98" s="0" t="inlineStr">
        <is>
          <t>IOWA WILLIA M BK:136292B-M</t>
        </is>
      </c>
      <c r="F98" s="2">
        <v>800136292054</v>
      </c>
      <c r="G98" s="0" t="inlineStr">
        <is>
          <t>MENS</t>
        </is>
      </c>
      <c r="H98" s="0" t="inlineStr">
        <is>
          <t>M</t>
        </is>
      </c>
      <c r="I98" s="0">
        <v>109.99</v>
      </c>
      <c r="J98" s="0">
        <v>0</v>
      </c>
    </row>
    <row r="99" spans="1:10" customHeight="0">
      <c r="A99" s="0">
        <f>HYPERLINK("https://dl.dropboxusercontent.com/scl/fi/f5kbfrztkk9y7p46il51k/williamia.jpg?rlkey=x575kef1ak4h7n5vr98qgr07a&amp;dl=0","Click to download Image")</f>
      </c>
      <c r="B99" s="0">
        <f>HYPERLINK("https://dl.dropboxusercontent.com/scl/fi/ixjnm3shbpmo827bttk7o/mens-jackets-size-chartswilliam.jpg?rlkey=3ao81llzkz6jgoc7bsicdxpzc&amp;dl=0","Click to download SizeChart")</f>
      </c>
      <c r="C99" s="0" t="inlineStr">
        <is>
          <t>William Men's Jacket</t>
        </is>
      </c>
      <c r="D99" s="1">
        <v>136292</v>
      </c>
      <c r="E99" s="0" t="inlineStr">
        <is>
          <t>IOWA WILLIA M BK:136292C-L</t>
        </is>
      </c>
      <c r="F99" s="2">
        <v>800136292061</v>
      </c>
      <c r="G99" s="0" t="inlineStr">
        <is>
          <t>MENS</t>
        </is>
      </c>
      <c r="H99" s="0" t="inlineStr">
        <is>
          <t>L</t>
        </is>
      </c>
      <c r="I99" s="0">
        <v>109.99</v>
      </c>
      <c r="J99" s="0">
        <v>1</v>
      </c>
    </row>
    <row r="100" spans="1:10" customHeight="0">
      <c r="A100" s="0">
        <f>HYPERLINK("https://dl.dropboxusercontent.com/scl/fi/f5kbfrztkk9y7p46il51k/williamia.jpg?rlkey=x575kef1ak4h7n5vr98qgr07a&amp;dl=0","Click to download Image")</f>
      </c>
      <c r="B100" s="0">
        <f>HYPERLINK("https://dl.dropboxusercontent.com/scl/fi/ixjnm3shbpmo827bttk7o/mens-jackets-size-chartswilliam.jpg?rlkey=3ao81llzkz6jgoc7bsicdxpzc&amp;dl=0","Click to download SizeChart")</f>
      </c>
      <c r="C100" s="0" t="inlineStr">
        <is>
          <t>William Men's Jacket</t>
        </is>
      </c>
      <c r="D100" s="1">
        <v>136292</v>
      </c>
      <c r="E100" s="0" t="inlineStr">
        <is>
          <t>IOWA WILLIA M BK:136292D-XL</t>
        </is>
      </c>
      <c r="F100" s="2">
        <v>800136292078</v>
      </c>
      <c r="G100" s="0" t="inlineStr">
        <is>
          <t>MENS</t>
        </is>
      </c>
      <c r="H100" s="0" t="inlineStr">
        <is>
          <t>XL</t>
        </is>
      </c>
      <c r="I100" s="0">
        <v>109.99</v>
      </c>
      <c r="J100" s="0">
        <v>0</v>
      </c>
    </row>
    <row r="101" spans="1:10" customHeight="0">
      <c r="A101" s="0">
        <f>HYPERLINK("https://dl.dropboxusercontent.com/scl/fi/f5kbfrztkk9y7p46il51k/williamia.jpg?rlkey=x575kef1ak4h7n5vr98qgr07a&amp;dl=0","Click to download Image")</f>
      </c>
      <c r="B101" s="0">
        <f>HYPERLINK("https://dl.dropboxusercontent.com/scl/fi/ixjnm3shbpmo827bttk7o/mens-jackets-size-chartswilliam.jpg?rlkey=3ao81llzkz6jgoc7bsicdxpzc&amp;dl=0","Click to download SizeChart")</f>
      </c>
      <c r="C101" s="0" t="inlineStr">
        <is>
          <t>William Men's Jacket</t>
        </is>
      </c>
      <c r="D101" s="1">
        <v>136292</v>
      </c>
      <c r="E101" s="0" t="inlineStr">
        <is>
          <t>IOWA WILLIA M BK:136292E-2XL</t>
        </is>
      </c>
      <c r="F101" s="2">
        <v>800136292085</v>
      </c>
      <c r="G101" s="0" t="inlineStr">
        <is>
          <t>MENS</t>
        </is>
      </c>
      <c r="H101" s="0" t="inlineStr">
        <is>
          <t>2XL</t>
        </is>
      </c>
      <c r="I101" s="0">
        <v>111.99</v>
      </c>
      <c r="J101" s="0">
        <v>0</v>
      </c>
    </row>
    <row r="102" spans="1:10" customHeight="0">
      <c r="A102" s="0">
        <f>HYPERLINK("https://dl.dropboxusercontent.com/scl/fi/f5kbfrztkk9y7p46il51k/williamia.jpg?rlkey=x575kef1ak4h7n5vr98qgr07a&amp;dl=0","Click to download Image")</f>
      </c>
      <c r="B102" s="0">
        <f>HYPERLINK("https://dl.dropboxusercontent.com/scl/fi/ixjnm3shbpmo827bttk7o/mens-jackets-size-chartswilliam.jpg?rlkey=3ao81llzkz6jgoc7bsicdxpzc&amp;dl=0","Click to download SizeChart")</f>
      </c>
      <c r="C102" s="0" t="inlineStr">
        <is>
          <t>William Men's Jacket</t>
        </is>
      </c>
      <c r="D102" s="1">
        <v>136292</v>
      </c>
      <c r="E102" s="0" t="inlineStr">
        <is>
          <t>IOWA WILLIA M BK:136292F-3XL</t>
        </is>
      </c>
      <c r="F102" s="2">
        <v>800136292092</v>
      </c>
      <c r="G102" s="0" t="inlineStr">
        <is>
          <t>MENS</t>
        </is>
      </c>
      <c r="H102" s="0" t="inlineStr">
        <is>
          <t>3XL</t>
        </is>
      </c>
      <c r="I102" s="0">
        <v>111.99</v>
      </c>
      <c r="J102" s="0">
        <v>0</v>
      </c>
    </row>
    <row r="103" spans="1:10" customHeight="0">
      <c r="A103" s="0">
        <f>HYPERLINK("https://dl.dropboxusercontent.com/scl/fi/f5kbfrztkk9y7p46il51k/williamia.jpg?rlkey=x575kef1ak4h7n5vr98qgr07a&amp;dl=0","Click to download Image")</f>
      </c>
      <c r="B103" s="0">
        <f>HYPERLINK("https://dl.dropboxusercontent.com/scl/fi/ixjnm3shbpmo827bttk7o/mens-jackets-size-chartswilliam.jpg?rlkey=3ao81llzkz6jgoc7bsicdxpzc&amp;dl=0","Click to download SizeChart")</f>
      </c>
      <c r="C103" s="0" t="inlineStr">
        <is>
          <t>William Men's Jacket</t>
        </is>
      </c>
      <c r="D103" s="1">
        <v>136292</v>
      </c>
      <c r="E103" s="0" t="inlineStr">
        <is>
          <t>IOWA WILLIA M BK:136292Z-12PK</t>
        </is>
      </c>
      <c r="F103" s="2">
        <v>800136292993</v>
      </c>
      <c r="G103" s="0" t="inlineStr">
        <is>
          <t>MENS</t>
        </is>
      </c>
      <c r="H103" s="0" t="inlineStr">
        <is>
          <t>12 PACK</t>
        </is>
      </c>
      <c r="I103" s="0">
        <v>1052.4</v>
      </c>
      <c r="J103" s="0">
        <v>0</v>
      </c>
    </row>
    <row r="104" spans="1:10" customHeight="0">
      <c r="A104" s="0">
        <f>HYPERLINK("https://dl.dropboxusercontent.com/scl/fi/ulo2rq33y1qu8v20zdvl3/grove-138649-tn.jpg?rlkey=a806kk3kopp5sljyhzcf7wvzt&amp;dl=0","Click to download Image")</f>
      </c>
      <c r="B104" s="0">
        <f>HYPERLINK("https://dl.dropboxusercontent.com/scl/fi/60a5wkezeiqcc9p2wl6ab/mens-jackets-size-chartsgrove.jpg?rlkey=xzq3u00p4jwk8n0sujca3il54&amp;dl=0","Click to download SizeChart")</f>
      </c>
      <c r="C104" s="0" t="inlineStr">
        <is>
          <t>Grove Men's Windshell Jacket</t>
        </is>
      </c>
      <c r="D104" s="1">
        <v>138649</v>
      </c>
      <c r="E104" s="0" t="inlineStr">
        <is>
          <t>IOWA GROVE M BK:138649A-S</t>
        </is>
      </c>
      <c r="F104" s="2">
        <v>800138649047</v>
      </c>
      <c r="G104" s="0" t="inlineStr">
        <is>
          <t>MENS</t>
        </is>
      </c>
      <c r="H104" s="0" t="inlineStr">
        <is>
          <t>S</t>
        </is>
      </c>
      <c r="I104" s="0">
        <v>68.99</v>
      </c>
      <c r="J104" s="0">
        <v>1</v>
      </c>
    </row>
    <row r="105" spans="1:10" customHeight="0">
      <c r="A105" s="0">
        <f>HYPERLINK("https://dl.dropboxusercontent.com/scl/fi/ulo2rq33y1qu8v20zdvl3/grove-138649-tn.jpg?rlkey=a806kk3kopp5sljyhzcf7wvzt&amp;dl=0","Click to download Image")</f>
      </c>
      <c r="B105" s="0">
        <f>HYPERLINK("https://dl.dropboxusercontent.com/scl/fi/60a5wkezeiqcc9p2wl6ab/mens-jackets-size-chartsgrove.jpg?rlkey=xzq3u00p4jwk8n0sujca3il54&amp;dl=0","Click to download SizeChart")</f>
      </c>
      <c r="C105" s="0" t="inlineStr">
        <is>
          <t>Grove Men's Windshell Jacket</t>
        </is>
      </c>
      <c r="D105" s="1">
        <v>138649</v>
      </c>
      <c r="E105" s="0" t="inlineStr">
        <is>
          <t>IOWA GROVE M BK:138649B-M</t>
        </is>
      </c>
      <c r="F105" s="2">
        <v>800138649054</v>
      </c>
      <c r="G105" s="0" t="inlineStr">
        <is>
          <t>MENS</t>
        </is>
      </c>
      <c r="H105" s="0" t="inlineStr">
        <is>
          <t>M</t>
        </is>
      </c>
      <c r="I105" s="0">
        <v>68.99</v>
      </c>
      <c r="J105" s="0">
        <v>3</v>
      </c>
    </row>
    <row r="106" spans="1:10" customHeight="0">
      <c r="A106" s="0">
        <f>HYPERLINK("https://dl.dropboxusercontent.com/scl/fi/ulo2rq33y1qu8v20zdvl3/grove-138649-tn.jpg?rlkey=a806kk3kopp5sljyhzcf7wvzt&amp;dl=0","Click to download Image")</f>
      </c>
      <c r="B106" s="0">
        <f>HYPERLINK("https://dl.dropboxusercontent.com/scl/fi/60a5wkezeiqcc9p2wl6ab/mens-jackets-size-chartsgrove.jpg?rlkey=xzq3u00p4jwk8n0sujca3il54&amp;dl=0","Click to download SizeChart")</f>
      </c>
      <c r="C106" s="0" t="inlineStr">
        <is>
          <t>Grove Men's Windshell Jacket</t>
        </is>
      </c>
      <c r="D106" s="1">
        <v>138649</v>
      </c>
      <c r="E106" s="0" t="inlineStr">
        <is>
          <t>IOWA GROVE M BK:138649C-L</t>
        </is>
      </c>
      <c r="F106" s="2">
        <v>800138649061</v>
      </c>
      <c r="G106" s="0" t="inlineStr">
        <is>
          <t>MENS</t>
        </is>
      </c>
      <c r="H106" s="0" t="inlineStr">
        <is>
          <t>L</t>
        </is>
      </c>
      <c r="I106" s="0">
        <v>68.99</v>
      </c>
      <c r="J106" s="0">
        <v>6</v>
      </c>
    </row>
    <row r="107" spans="1:10" customHeight="0">
      <c r="A107" s="0">
        <f>HYPERLINK("https://dl.dropboxusercontent.com/scl/fi/ulo2rq33y1qu8v20zdvl3/grove-138649-tn.jpg?rlkey=a806kk3kopp5sljyhzcf7wvzt&amp;dl=0","Click to download Image")</f>
      </c>
      <c r="B107" s="0">
        <f>HYPERLINK("https://dl.dropboxusercontent.com/scl/fi/60a5wkezeiqcc9p2wl6ab/mens-jackets-size-chartsgrove.jpg?rlkey=xzq3u00p4jwk8n0sujca3il54&amp;dl=0","Click to download SizeChart")</f>
      </c>
      <c r="C107" s="0" t="inlineStr">
        <is>
          <t>Grove Men's Windshell Jacket</t>
        </is>
      </c>
      <c r="D107" s="1">
        <v>138649</v>
      </c>
      <c r="E107" s="0" t="inlineStr">
        <is>
          <t>IOWA GROVE M BK:138649D-XL</t>
        </is>
      </c>
      <c r="F107" s="2">
        <v>800138649078</v>
      </c>
      <c r="G107" s="0" t="inlineStr">
        <is>
          <t>MENS</t>
        </is>
      </c>
      <c r="H107" s="0" t="inlineStr">
        <is>
          <t>XL</t>
        </is>
      </c>
      <c r="I107" s="0">
        <v>68.99</v>
      </c>
      <c r="J107" s="0">
        <v>4</v>
      </c>
    </row>
    <row r="108" spans="1:10" customHeight="0">
      <c r="A108" s="0">
        <f>HYPERLINK("https://dl.dropboxusercontent.com/scl/fi/ulo2rq33y1qu8v20zdvl3/grove-138649-tn.jpg?rlkey=a806kk3kopp5sljyhzcf7wvzt&amp;dl=0","Click to download Image")</f>
      </c>
      <c r="B108" s="0">
        <f>HYPERLINK("https://dl.dropboxusercontent.com/scl/fi/60a5wkezeiqcc9p2wl6ab/mens-jackets-size-chartsgrove.jpg?rlkey=xzq3u00p4jwk8n0sujca3il54&amp;dl=0","Click to download SizeChart")</f>
      </c>
      <c r="C108" s="0" t="inlineStr">
        <is>
          <t>Grove Men's Windshell Jacket</t>
        </is>
      </c>
      <c r="D108" s="1">
        <v>138649</v>
      </c>
      <c r="E108" s="0" t="inlineStr">
        <is>
          <t>IOWA GROVE M BK:138649E-2XL</t>
        </is>
      </c>
      <c r="F108" s="2">
        <v>800138649085</v>
      </c>
      <c r="G108" s="0" t="inlineStr">
        <is>
          <t>MENS</t>
        </is>
      </c>
      <c r="H108" s="0" t="inlineStr">
        <is>
          <t>2XL</t>
        </is>
      </c>
      <c r="I108" s="0">
        <v>70.99</v>
      </c>
      <c r="J108" s="0">
        <v>0</v>
      </c>
    </row>
    <row r="109" spans="1:10" customHeight="0">
      <c r="A109" s="0">
        <f>HYPERLINK("https://dl.dropboxusercontent.com/scl/fi/ulo2rq33y1qu8v20zdvl3/grove-138649-tn.jpg?rlkey=a806kk3kopp5sljyhzcf7wvzt&amp;dl=0","Click to download Image")</f>
      </c>
      <c r="B109" s="0">
        <f>HYPERLINK("https://dl.dropboxusercontent.com/scl/fi/60a5wkezeiqcc9p2wl6ab/mens-jackets-size-chartsgrove.jpg?rlkey=xzq3u00p4jwk8n0sujca3il54&amp;dl=0","Click to download SizeChart")</f>
      </c>
      <c r="C109" s="0" t="inlineStr">
        <is>
          <t>Grove Men's Windshell Jacket</t>
        </is>
      </c>
      <c r="D109" s="1">
        <v>138649</v>
      </c>
      <c r="E109" s="0" t="inlineStr">
        <is>
          <t>IOWA GROVE M BK:138649F-3XL</t>
        </is>
      </c>
      <c r="F109" s="2">
        <v>800138649092</v>
      </c>
      <c r="G109" s="0" t="inlineStr">
        <is>
          <t>MENS</t>
        </is>
      </c>
      <c r="H109" s="0" t="inlineStr">
        <is>
          <t>3XL</t>
        </is>
      </c>
      <c r="I109" s="0">
        <v>70.99</v>
      </c>
      <c r="J109" s="0">
        <v>1</v>
      </c>
    </row>
    <row r="110" spans="1:10" customHeight="0">
      <c r="A110" s="0">
        <f>HYPERLINK("https://dl.dropboxusercontent.com/scl/fi/ulo2rq33y1qu8v20zdvl3/grove-138649-tn.jpg?rlkey=a806kk3kopp5sljyhzcf7wvzt&amp;dl=0","Click to download Image")</f>
      </c>
      <c r="B110" s="0">
        <f>HYPERLINK("https://dl.dropboxusercontent.com/scl/fi/60a5wkezeiqcc9p2wl6ab/mens-jackets-size-chartsgrove.jpg?rlkey=xzq3u00p4jwk8n0sujca3il54&amp;dl=0","Click to download SizeChart")</f>
      </c>
      <c r="C110" s="0" t="inlineStr">
        <is>
          <t>Grove Men's Windshell Jacket</t>
        </is>
      </c>
      <c r="D110" s="1">
        <v>138649</v>
      </c>
      <c r="E110" s="0" t="inlineStr">
        <is>
          <t>IOWA GROVE M BK:138649Z-12PK</t>
        </is>
      </c>
      <c r="F110" s="2">
        <v>800138649993</v>
      </c>
      <c r="G110" s="0" t="inlineStr">
        <is>
          <t>MENS</t>
        </is>
      </c>
      <c r="H110" s="0" t="inlineStr">
        <is>
          <t>12 PACK</t>
        </is>
      </c>
      <c r="I110" s="0">
        <v>668.33</v>
      </c>
      <c r="J110" s="0">
        <v>0</v>
      </c>
    </row>
    <row r="111" spans="1:10" customHeight="0">
      <c r="A111" s="0">
        <f>HYPERLINK("https://dl.dropboxusercontent.com/scl/fi/x2fkwi4lslrg0mqn7rz6u/amanda-137526-tn.jpg?rlkey=21f06ozc0e96do1uu63ksvauq&amp;dl=0","Click to download Image")</f>
      </c>
      <c r="B111" s="0">
        <f>HYPERLINK("https://dl.dropboxusercontent.com/scl/fi/dj046xrnzq22lj593z034/womens-t-shirt-size-chartsamanda.jpg?rlkey=3rrss30r6ybg629p6ku25ruao&amp;dl=0","Click to download SizeChart")</f>
      </c>
      <c r="C111" s="0" t="inlineStr">
        <is>
          <t>Amanda Women's Short Sleeve Shirt</t>
        </is>
      </c>
      <c r="D111" s="1">
        <v>137526</v>
      </c>
      <c r="E111" s="0" t="inlineStr">
        <is>
          <t>IOWA AMANDA W BK:137526A-S</t>
        </is>
      </c>
      <c r="F111" s="2">
        <v>800137526042</v>
      </c>
      <c r="G111" s="0" t="inlineStr">
        <is>
          <t>WOMENS</t>
        </is>
      </c>
      <c r="H111" s="0" t="inlineStr">
        <is>
          <t>S</t>
        </is>
      </c>
      <c r="I111" s="0">
        <v>34.99</v>
      </c>
      <c r="J111" s="0">
        <v>2</v>
      </c>
    </row>
    <row r="112" spans="1:10" customHeight="0">
      <c r="A112" s="0">
        <f>HYPERLINK("https://dl.dropboxusercontent.com/scl/fi/x2fkwi4lslrg0mqn7rz6u/amanda-137526-tn.jpg?rlkey=21f06ozc0e96do1uu63ksvauq&amp;dl=0","Click to download Image")</f>
      </c>
      <c r="B112" s="0">
        <f>HYPERLINK("https://dl.dropboxusercontent.com/scl/fi/dj046xrnzq22lj593z034/womens-t-shirt-size-chartsamanda.jpg?rlkey=3rrss30r6ybg629p6ku25ruao&amp;dl=0","Click to download SizeChart")</f>
      </c>
      <c r="C112" s="0" t="inlineStr">
        <is>
          <t>Amanda Women's Short Sleeve Shirt</t>
        </is>
      </c>
      <c r="D112" s="1">
        <v>137526</v>
      </c>
      <c r="E112" s="0" t="inlineStr">
        <is>
          <t>IOWA AMANDA W BK:137526B-M</t>
        </is>
      </c>
      <c r="F112" s="2">
        <v>800137526059</v>
      </c>
      <c r="G112" s="0" t="inlineStr">
        <is>
          <t>WOMENS</t>
        </is>
      </c>
      <c r="H112" s="0" t="inlineStr">
        <is>
          <t>M</t>
        </is>
      </c>
      <c r="I112" s="0">
        <v>34.99</v>
      </c>
      <c r="J112" s="0">
        <v>6</v>
      </c>
    </row>
    <row r="113" spans="1:10" customHeight="0">
      <c r="A113" s="0">
        <f>HYPERLINK("https://dl.dropboxusercontent.com/scl/fi/x2fkwi4lslrg0mqn7rz6u/amanda-137526-tn.jpg?rlkey=21f06ozc0e96do1uu63ksvauq&amp;dl=0","Click to download Image")</f>
      </c>
      <c r="B113" s="0">
        <f>HYPERLINK("https://dl.dropboxusercontent.com/scl/fi/dj046xrnzq22lj593z034/womens-t-shirt-size-chartsamanda.jpg?rlkey=3rrss30r6ybg629p6ku25ruao&amp;dl=0","Click to download SizeChart")</f>
      </c>
      <c r="C113" s="0" t="inlineStr">
        <is>
          <t>Amanda Women's Short Sleeve Shirt</t>
        </is>
      </c>
      <c r="D113" s="1">
        <v>137526</v>
      </c>
      <c r="E113" s="0" t="inlineStr">
        <is>
          <t>IOWA AMANDA W BK:137526C-L</t>
        </is>
      </c>
      <c r="F113" s="2">
        <v>800137526066</v>
      </c>
      <c r="G113" s="0" t="inlineStr">
        <is>
          <t>WOMENS</t>
        </is>
      </c>
      <c r="H113" s="0" t="inlineStr">
        <is>
          <t>L</t>
        </is>
      </c>
      <c r="I113" s="0">
        <v>34.99</v>
      </c>
      <c r="J113" s="0">
        <v>4</v>
      </c>
    </row>
    <row r="114" spans="1:10" customHeight="0">
      <c r="A114" s="0">
        <f>HYPERLINK("https://dl.dropboxusercontent.com/scl/fi/x2fkwi4lslrg0mqn7rz6u/amanda-137526-tn.jpg?rlkey=21f06ozc0e96do1uu63ksvauq&amp;dl=0","Click to download Image")</f>
      </c>
      <c r="B114" s="0">
        <f>HYPERLINK("https://dl.dropboxusercontent.com/scl/fi/dj046xrnzq22lj593z034/womens-t-shirt-size-chartsamanda.jpg?rlkey=3rrss30r6ybg629p6ku25ruao&amp;dl=0","Click to download SizeChart")</f>
      </c>
      <c r="C114" s="0" t="inlineStr">
        <is>
          <t>Amanda Women's Short Sleeve Shirt</t>
        </is>
      </c>
      <c r="D114" s="1">
        <v>137526</v>
      </c>
      <c r="E114" s="0" t="inlineStr">
        <is>
          <t>IOWA AMANDA W BK:137526D-XL</t>
        </is>
      </c>
      <c r="F114" s="2">
        <v>800137526073</v>
      </c>
      <c r="G114" s="0" t="inlineStr">
        <is>
          <t>WOMENS</t>
        </is>
      </c>
      <c r="H114" s="0" t="inlineStr">
        <is>
          <t>XL</t>
        </is>
      </c>
      <c r="I114" s="0">
        <v>34.99</v>
      </c>
      <c r="J114" s="0">
        <v>0</v>
      </c>
    </row>
    <row r="115" spans="1:10" customHeight="0">
      <c r="A115" s="0">
        <f>HYPERLINK("https://dl.dropboxusercontent.com/scl/fi/x2fkwi4lslrg0mqn7rz6u/amanda-137526-tn.jpg?rlkey=21f06ozc0e96do1uu63ksvauq&amp;dl=0","Click to download Image")</f>
      </c>
      <c r="B115" s="0">
        <f>HYPERLINK("https://dl.dropboxusercontent.com/scl/fi/dj046xrnzq22lj593z034/womens-t-shirt-size-chartsamanda.jpg?rlkey=3rrss30r6ybg629p6ku25ruao&amp;dl=0","Click to download SizeChart")</f>
      </c>
      <c r="C115" s="0" t="inlineStr">
        <is>
          <t>Amanda Women's Short Sleeve Shirt</t>
        </is>
      </c>
      <c r="D115" s="1">
        <v>137526</v>
      </c>
      <c r="E115" s="0" t="inlineStr">
        <is>
          <t>IOWA AMANDA W BK:137526E-2XL</t>
        </is>
      </c>
      <c r="F115" s="2">
        <v>800137526080</v>
      </c>
      <c r="G115" s="0" t="inlineStr">
        <is>
          <t>WOMENS</t>
        </is>
      </c>
      <c r="H115" s="0" t="inlineStr">
        <is>
          <t>2XL</t>
        </is>
      </c>
      <c r="I115" s="0">
        <v>34.99</v>
      </c>
      <c r="J115" s="0">
        <v>0</v>
      </c>
    </row>
    <row r="116" spans="1:10" customHeight="0">
      <c r="A116" s="0">
        <f>HYPERLINK("https://dl.dropboxusercontent.com/scl/fi/x2fkwi4lslrg0mqn7rz6u/amanda-137526-tn.jpg?rlkey=21f06ozc0e96do1uu63ksvauq&amp;dl=0","Click to download Image")</f>
      </c>
      <c r="B116" s="0">
        <f>HYPERLINK("https://dl.dropboxusercontent.com/scl/fi/dj046xrnzq22lj593z034/womens-t-shirt-size-chartsamanda.jpg?rlkey=3rrss30r6ybg629p6ku25ruao&amp;dl=0","Click to download SizeChart")</f>
      </c>
      <c r="C116" s="0" t="inlineStr">
        <is>
          <t>Amanda Women's Short Sleeve Shirt</t>
        </is>
      </c>
      <c r="D116" s="1">
        <v>137526</v>
      </c>
      <c r="E116" s="0" t="inlineStr">
        <is>
          <t>IOWA AMANDA W BK:137526F-3XL</t>
        </is>
      </c>
      <c r="F116" s="2">
        <v>800137526097</v>
      </c>
      <c r="G116" s="0" t="inlineStr">
        <is>
          <t>WOMENS</t>
        </is>
      </c>
      <c r="H116" s="0" t="inlineStr">
        <is>
          <t>3XL</t>
        </is>
      </c>
      <c r="I116" s="0">
        <v>34.99</v>
      </c>
      <c r="J116" s="0">
        <v>0</v>
      </c>
    </row>
    <row r="117" spans="1:10" customHeight="0">
      <c r="A117" s="0">
        <f>HYPERLINK("https://dl.dropboxusercontent.com/scl/fi/x2fkwi4lslrg0mqn7rz6u/amanda-137526-tn.jpg?rlkey=21f06ozc0e96do1uu63ksvauq&amp;dl=0","Click to download Image")</f>
      </c>
      <c r="B117" s="0">
        <f>HYPERLINK("https://dl.dropboxusercontent.com/scl/fi/dj046xrnzq22lj593z034/womens-t-shirt-size-chartsamanda.jpg?rlkey=3rrss30r6ybg629p6ku25ruao&amp;dl=0","Click to download SizeChart")</f>
      </c>
      <c r="C117" s="0" t="inlineStr">
        <is>
          <t>Amanda Women's Short Sleeve Shirt</t>
        </is>
      </c>
      <c r="D117" s="1">
        <v>137526</v>
      </c>
      <c r="E117" s="0" t="inlineStr">
        <is>
          <t>IOWA AMANDA W BK:137526Z-12PK</t>
        </is>
      </c>
      <c r="F117" s="2">
        <v>800137526998</v>
      </c>
      <c r="G117" s="0" t="inlineStr">
        <is>
          <t>WOMENS</t>
        </is>
      </c>
      <c r="H117" s="0" t="inlineStr">
        <is>
          <t>12 PACK</t>
        </is>
      </c>
      <c r="I117" s="0">
        <v>335.9</v>
      </c>
      <c r="J117" s="0">
        <v>0</v>
      </c>
    </row>
    <row r="118" spans="1:10" customHeight="0">
      <c r="A118" s="0">
        <f>HYPERLINK("https://dl.dropboxusercontent.com/scl/fi/zollhkdxo2s5rxkdoecza/calla-137387-tn.jpg?rlkey=in9exarkszads7nv9eeat3h91&amp;dl=0","Click to download Image")</f>
      </c>
      <c r="B118" s="0">
        <f>HYPERLINK("https://dl.dropboxusercontent.com/scl/fi/ctdrk3kuetdnf8f6fk78r/womens-t-shirt-size-chartscalla.jpg?rlkey=h1cgt3op9i7268irt02oqbua1&amp;dl=0","Click to download SizeChart")</f>
      </c>
      <c r="C118" s="0" t="inlineStr">
        <is>
          <t>Calla Women's Long Sleeve T-Shirt</t>
        </is>
      </c>
      <c r="D118" s="1">
        <v>137387</v>
      </c>
      <c r="E118" s="0" t="inlineStr">
        <is>
          <t>IOWA CALLA W BK:137387A-S</t>
        </is>
      </c>
      <c r="F118" s="2">
        <v>800137387049</v>
      </c>
      <c r="G118" s="0" t="inlineStr">
        <is>
          <t>WOMENS</t>
        </is>
      </c>
      <c r="H118" s="0" t="inlineStr">
        <is>
          <t>S</t>
        </is>
      </c>
      <c r="I118" s="0">
        <v>36.99</v>
      </c>
      <c r="J118" s="0">
        <v>0</v>
      </c>
    </row>
    <row r="119" spans="1:10" customHeight="0">
      <c r="A119" s="0">
        <f>HYPERLINK("https://dl.dropboxusercontent.com/scl/fi/zollhkdxo2s5rxkdoecza/calla-137387-tn.jpg?rlkey=in9exarkszads7nv9eeat3h91&amp;dl=0","Click to download Image")</f>
      </c>
      <c r="B119" s="0">
        <f>HYPERLINK("https://dl.dropboxusercontent.com/scl/fi/ctdrk3kuetdnf8f6fk78r/womens-t-shirt-size-chartscalla.jpg?rlkey=h1cgt3op9i7268irt02oqbua1&amp;dl=0","Click to download SizeChart")</f>
      </c>
      <c r="C119" s="0" t="inlineStr">
        <is>
          <t>Calla Women's Long Sleeve T-Shirt</t>
        </is>
      </c>
      <c r="D119" s="1">
        <v>137387</v>
      </c>
      <c r="E119" s="0" t="inlineStr">
        <is>
          <t>IOWA CALLA W BK:137387B-M</t>
        </is>
      </c>
      <c r="F119" s="2">
        <v>800137387056</v>
      </c>
      <c r="G119" s="0" t="inlineStr">
        <is>
          <t>WOMENS</t>
        </is>
      </c>
      <c r="H119" s="0" t="inlineStr">
        <is>
          <t>M</t>
        </is>
      </c>
      <c r="I119" s="0">
        <v>36.99</v>
      </c>
      <c r="J119" s="0">
        <v>0</v>
      </c>
    </row>
    <row r="120" spans="1:10" customHeight="0">
      <c r="A120" s="0">
        <f>HYPERLINK("https://dl.dropboxusercontent.com/scl/fi/zollhkdxo2s5rxkdoecza/calla-137387-tn.jpg?rlkey=in9exarkszads7nv9eeat3h91&amp;dl=0","Click to download Image")</f>
      </c>
      <c r="B120" s="0">
        <f>HYPERLINK("https://dl.dropboxusercontent.com/scl/fi/ctdrk3kuetdnf8f6fk78r/womens-t-shirt-size-chartscalla.jpg?rlkey=h1cgt3op9i7268irt02oqbua1&amp;dl=0","Click to download SizeChart")</f>
      </c>
      <c r="C120" s="0" t="inlineStr">
        <is>
          <t>Calla Women's Long Sleeve T-Shirt</t>
        </is>
      </c>
      <c r="D120" s="1">
        <v>137387</v>
      </c>
      <c r="E120" s="0" t="inlineStr">
        <is>
          <t>IOWA CALLA W BK:137387C-L</t>
        </is>
      </c>
      <c r="F120" s="2">
        <v>800137387063</v>
      </c>
      <c r="G120" s="0" t="inlineStr">
        <is>
          <t>WOMENS</t>
        </is>
      </c>
      <c r="H120" s="0" t="inlineStr">
        <is>
          <t>L</t>
        </is>
      </c>
      <c r="I120" s="0">
        <v>36.99</v>
      </c>
      <c r="J120" s="0">
        <v>0</v>
      </c>
    </row>
    <row r="121" spans="1:10" customHeight="0">
      <c r="A121" s="0">
        <f>HYPERLINK("https://dl.dropboxusercontent.com/scl/fi/zollhkdxo2s5rxkdoecza/calla-137387-tn.jpg?rlkey=in9exarkszads7nv9eeat3h91&amp;dl=0","Click to download Image")</f>
      </c>
      <c r="B121" s="0">
        <f>HYPERLINK("https://dl.dropboxusercontent.com/scl/fi/ctdrk3kuetdnf8f6fk78r/womens-t-shirt-size-chartscalla.jpg?rlkey=h1cgt3op9i7268irt02oqbua1&amp;dl=0","Click to download SizeChart")</f>
      </c>
      <c r="C121" s="0" t="inlineStr">
        <is>
          <t>Calla Women's Long Sleeve T-Shirt</t>
        </is>
      </c>
      <c r="D121" s="1">
        <v>137387</v>
      </c>
      <c r="E121" s="0" t="inlineStr">
        <is>
          <t>IOWA CALLA W BK:137387D-XL</t>
        </is>
      </c>
      <c r="F121" s="2">
        <v>800137387070</v>
      </c>
      <c r="G121" s="0" t="inlineStr">
        <is>
          <t>WOMENS</t>
        </is>
      </c>
      <c r="H121" s="0" t="inlineStr">
        <is>
          <t>XL</t>
        </is>
      </c>
      <c r="I121" s="0">
        <v>36.99</v>
      </c>
      <c r="J121" s="0">
        <v>0</v>
      </c>
    </row>
    <row r="122" spans="1:10" customHeight="0">
      <c r="A122" s="0">
        <f>HYPERLINK("https://dl.dropboxusercontent.com/scl/fi/zollhkdxo2s5rxkdoecza/calla-137387-tn.jpg?rlkey=in9exarkszads7nv9eeat3h91&amp;dl=0","Click to download Image")</f>
      </c>
      <c r="B122" s="0">
        <f>HYPERLINK("https://dl.dropboxusercontent.com/scl/fi/ctdrk3kuetdnf8f6fk78r/womens-t-shirt-size-chartscalla.jpg?rlkey=h1cgt3op9i7268irt02oqbua1&amp;dl=0","Click to download SizeChart")</f>
      </c>
      <c r="C122" s="0" t="inlineStr">
        <is>
          <t>Calla Women's Long Sleeve T-Shirt</t>
        </is>
      </c>
      <c r="D122" s="1">
        <v>137387</v>
      </c>
      <c r="E122" s="0" t="inlineStr">
        <is>
          <t>IOWA CALLA W BK:137387E-2XL</t>
        </is>
      </c>
      <c r="F122" s="2">
        <v>800137387087</v>
      </c>
      <c r="G122" s="0" t="inlineStr">
        <is>
          <t>WOMENS</t>
        </is>
      </c>
      <c r="H122" s="0" t="inlineStr">
        <is>
          <t>2XL</t>
        </is>
      </c>
      <c r="I122" s="0">
        <v>36.99</v>
      </c>
      <c r="J122" s="0">
        <v>0</v>
      </c>
    </row>
    <row r="123" spans="1:10" customHeight="0">
      <c r="A123" s="0">
        <f>HYPERLINK("https://dl.dropboxusercontent.com/scl/fi/zollhkdxo2s5rxkdoecza/calla-137387-tn.jpg?rlkey=in9exarkszads7nv9eeat3h91&amp;dl=0","Click to download Image")</f>
      </c>
      <c r="B123" s="0">
        <f>HYPERLINK("https://dl.dropboxusercontent.com/scl/fi/ctdrk3kuetdnf8f6fk78r/womens-t-shirt-size-chartscalla.jpg?rlkey=h1cgt3op9i7268irt02oqbua1&amp;dl=0","Click to download SizeChart")</f>
      </c>
      <c r="C123" s="0" t="inlineStr">
        <is>
          <t>Calla Women's Long Sleeve T-Shirt</t>
        </is>
      </c>
      <c r="D123" s="1">
        <v>137387</v>
      </c>
      <c r="E123" s="0" t="inlineStr">
        <is>
          <t>IOWA CALLA W BK:137387F-3XL</t>
        </is>
      </c>
      <c r="F123" s="2">
        <v>800137387094</v>
      </c>
      <c r="G123" s="0" t="inlineStr">
        <is>
          <t>WOMENS</t>
        </is>
      </c>
      <c r="H123" s="0" t="inlineStr">
        <is>
          <t>3XL</t>
        </is>
      </c>
      <c r="I123" s="0">
        <v>36.99</v>
      </c>
      <c r="J123" s="0">
        <v>1</v>
      </c>
    </row>
    <row r="124" spans="1:10" customHeight="0">
      <c r="A124" s="0">
        <f>HYPERLINK("https://dl.dropboxusercontent.com/scl/fi/zollhkdxo2s5rxkdoecza/calla-137387-tn.jpg?rlkey=in9exarkszads7nv9eeat3h91&amp;dl=0","Click to download Image")</f>
      </c>
      <c r="B124" s="0">
        <f>HYPERLINK("https://dl.dropboxusercontent.com/scl/fi/ctdrk3kuetdnf8f6fk78r/womens-t-shirt-size-chartscalla.jpg?rlkey=h1cgt3op9i7268irt02oqbua1&amp;dl=0","Click to download SizeChart")</f>
      </c>
      <c r="C124" s="0" t="inlineStr">
        <is>
          <t>Calla Women's Long Sleeve T-Shirt</t>
        </is>
      </c>
      <c r="D124" s="1">
        <v>137387</v>
      </c>
      <c r="E124" s="0" t="inlineStr">
        <is>
          <t>IOWA CALLA W BK:137387Z-12PK</t>
        </is>
      </c>
      <c r="F124" s="2">
        <v>800137387995</v>
      </c>
      <c r="G124" s="0" t="inlineStr">
        <is>
          <t>WOMENS</t>
        </is>
      </c>
      <c r="H124" s="0" t="inlineStr">
        <is>
          <t>12 PACK</t>
        </is>
      </c>
      <c r="I124" s="0">
        <v>355.1</v>
      </c>
      <c r="J124" s="0">
        <v>0</v>
      </c>
    </row>
    <row r="125" spans="1:10" customHeight="0">
      <c r="A125" s="0">
        <f>HYPERLINK("https://dl.dropboxusercontent.com/scl/fi/f6vjcmbkbg0kyq2jv2ona/reign-138320-tn.jpg?rlkey=8ca8r4pikh8lugqwfph48dzfd&amp;dl=0","Click to download Image")</f>
      </c>
      <c r="B125" s="0">
        <f>HYPERLINK("https://dl.dropboxusercontent.com/scl/fi/zjtv6aflibskf47pvu6y7/womens-size-chartsreign.jpg?rlkey=on35pamuu8efi0xm3ugegvbvl&amp;dl=0","Click to download SizeChart")</f>
      </c>
      <c r="C125" s="0" t="inlineStr">
        <is>
          <t>Reign Women's Hoodie</t>
        </is>
      </c>
      <c r="D125" s="1">
        <v>138320</v>
      </c>
      <c r="E125" s="0" t="inlineStr">
        <is>
          <t>IOWA REIGN W OG:138320A-S</t>
        </is>
      </c>
      <c r="F125" s="2">
        <v>800138320045</v>
      </c>
      <c r="G125" s="0" t="inlineStr">
        <is>
          <t>WOMENS</t>
        </is>
      </c>
      <c r="H125" s="0" t="inlineStr">
        <is>
          <t>S</t>
        </is>
      </c>
      <c r="I125" s="0">
        <v>59.99</v>
      </c>
      <c r="J125" s="0">
        <v>5</v>
      </c>
    </row>
    <row r="126" spans="1:10" customHeight="0">
      <c r="A126" s="0">
        <f>HYPERLINK("https://dl.dropboxusercontent.com/scl/fi/f6vjcmbkbg0kyq2jv2ona/reign-138320-tn.jpg?rlkey=8ca8r4pikh8lugqwfph48dzfd&amp;dl=0","Click to download Image")</f>
      </c>
      <c r="B126" s="0">
        <f>HYPERLINK("https://dl.dropboxusercontent.com/scl/fi/zjtv6aflibskf47pvu6y7/womens-size-chartsreign.jpg?rlkey=on35pamuu8efi0xm3ugegvbvl&amp;dl=0","Click to download SizeChart")</f>
      </c>
      <c r="C126" s="0" t="inlineStr">
        <is>
          <t>Reign Women's Hoodie</t>
        </is>
      </c>
      <c r="D126" s="1">
        <v>138320</v>
      </c>
      <c r="E126" s="0" t="inlineStr">
        <is>
          <t>IOWA REIGN W OG:138320B-M</t>
        </is>
      </c>
      <c r="F126" s="2">
        <v>800138320052</v>
      </c>
      <c r="G126" s="0" t="inlineStr">
        <is>
          <t>WOMENS</t>
        </is>
      </c>
      <c r="H126" s="0" t="inlineStr">
        <is>
          <t>M</t>
        </is>
      </c>
      <c r="I126" s="0">
        <v>59.99</v>
      </c>
      <c r="J126" s="0">
        <v>16</v>
      </c>
    </row>
    <row r="127" spans="1:10" customHeight="0">
      <c r="A127" s="0">
        <f>HYPERLINK("https://dl.dropboxusercontent.com/scl/fi/f6vjcmbkbg0kyq2jv2ona/reign-138320-tn.jpg?rlkey=8ca8r4pikh8lugqwfph48dzfd&amp;dl=0","Click to download Image")</f>
      </c>
      <c r="B127" s="0">
        <f>HYPERLINK("https://dl.dropboxusercontent.com/scl/fi/zjtv6aflibskf47pvu6y7/womens-size-chartsreign.jpg?rlkey=on35pamuu8efi0xm3ugegvbvl&amp;dl=0","Click to download SizeChart")</f>
      </c>
      <c r="C127" s="0" t="inlineStr">
        <is>
          <t>Reign Women's Hoodie</t>
        </is>
      </c>
      <c r="D127" s="1">
        <v>138320</v>
      </c>
      <c r="E127" s="0" t="inlineStr">
        <is>
          <t>IOWA REIGN W OG:138320C-L</t>
        </is>
      </c>
      <c r="F127" s="2">
        <v>800138320069</v>
      </c>
      <c r="G127" s="0" t="inlineStr">
        <is>
          <t>WOMENS</t>
        </is>
      </c>
      <c r="H127" s="0" t="inlineStr">
        <is>
          <t>L</t>
        </is>
      </c>
      <c r="I127" s="0">
        <v>59.99</v>
      </c>
      <c r="J127" s="0">
        <v>8</v>
      </c>
    </row>
    <row r="128" spans="1:10" customHeight="0">
      <c r="A128" s="0">
        <f>HYPERLINK("https://dl.dropboxusercontent.com/scl/fi/f6vjcmbkbg0kyq2jv2ona/reign-138320-tn.jpg?rlkey=8ca8r4pikh8lugqwfph48dzfd&amp;dl=0","Click to download Image")</f>
      </c>
      <c r="B128" s="0">
        <f>HYPERLINK("https://dl.dropboxusercontent.com/scl/fi/zjtv6aflibskf47pvu6y7/womens-size-chartsreign.jpg?rlkey=on35pamuu8efi0xm3ugegvbvl&amp;dl=0","Click to download SizeChart")</f>
      </c>
      <c r="C128" s="0" t="inlineStr">
        <is>
          <t>Reign Women's Hoodie</t>
        </is>
      </c>
      <c r="D128" s="1">
        <v>138320</v>
      </c>
      <c r="E128" s="0" t="inlineStr">
        <is>
          <t>IOWA REIGN W OG:138320D-XL</t>
        </is>
      </c>
      <c r="F128" s="2">
        <v>800138320076</v>
      </c>
      <c r="G128" s="0" t="inlineStr">
        <is>
          <t>WOMENS</t>
        </is>
      </c>
      <c r="H128" s="0" t="inlineStr">
        <is>
          <t>XL</t>
        </is>
      </c>
      <c r="I128" s="0">
        <v>59.99</v>
      </c>
      <c r="J128" s="0">
        <v>0</v>
      </c>
    </row>
    <row r="129" spans="1:10" customHeight="0">
      <c r="A129" s="0">
        <f>HYPERLINK("https://dl.dropboxusercontent.com/scl/fi/f6vjcmbkbg0kyq2jv2ona/reign-138320-tn.jpg?rlkey=8ca8r4pikh8lugqwfph48dzfd&amp;dl=0","Click to download Image")</f>
      </c>
      <c r="B129" s="0">
        <f>HYPERLINK("https://dl.dropboxusercontent.com/scl/fi/zjtv6aflibskf47pvu6y7/womens-size-chartsreign.jpg?rlkey=on35pamuu8efi0xm3ugegvbvl&amp;dl=0","Click to download SizeChart")</f>
      </c>
      <c r="C129" s="0" t="inlineStr">
        <is>
          <t>Reign Women's Hoodie</t>
        </is>
      </c>
      <c r="D129" s="1">
        <v>138320</v>
      </c>
      <c r="E129" s="0" t="inlineStr">
        <is>
          <t>IOWA REIGN W OG:138320E-2XL</t>
        </is>
      </c>
      <c r="F129" s="2">
        <v>800138320083</v>
      </c>
      <c r="G129" s="0" t="inlineStr">
        <is>
          <t>WOMENS</t>
        </is>
      </c>
      <c r="H129" s="0" t="inlineStr">
        <is>
          <t>2XL</t>
        </is>
      </c>
      <c r="I129" s="0">
        <v>59.99</v>
      </c>
      <c r="J129" s="0">
        <v>0</v>
      </c>
    </row>
    <row r="130" spans="1:10" customHeight="0">
      <c r="A130" s="0">
        <f>HYPERLINK("https://dl.dropboxusercontent.com/scl/fi/f6vjcmbkbg0kyq2jv2ona/reign-138320-tn.jpg?rlkey=8ca8r4pikh8lugqwfph48dzfd&amp;dl=0","Click to download Image")</f>
      </c>
      <c r="B130" s="0">
        <f>HYPERLINK("https://dl.dropboxusercontent.com/scl/fi/zjtv6aflibskf47pvu6y7/womens-size-chartsreign.jpg?rlkey=on35pamuu8efi0xm3ugegvbvl&amp;dl=0","Click to download SizeChart")</f>
      </c>
      <c r="C130" s="0" t="inlineStr">
        <is>
          <t>Reign Women's Hoodie</t>
        </is>
      </c>
      <c r="D130" s="1">
        <v>138320</v>
      </c>
      <c r="E130" s="0" t="inlineStr">
        <is>
          <t>IOWA REIGN W OG:138320F-3XL</t>
        </is>
      </c>
      <c r="F130" s="2">
        <v>800138320090</v>
      </c>
      <c r="G130" s="0" t="inlineStr">
        <is>
          <t>WOMENS</t>
        </is>
      </c>
      <c r="H130" s="0" t="inlineStr">
        <is>
          <t>3XL</t>
        </is>
      </c>
      <c r="I130" s="0">
        <v>59.99</v>
      </c>
      <c r="J130" s="0">
        <v>0</v>
      </c>
    </row>
    <row r="131" spans="1:10" customHeight="0">
      <c r="A131" s="0">
        <f>HYPERLINK("https://dl.dropboxusercontent.com/scl/fi/f6vjcmbkbg0kyq2jv2ona/reign-138320-tn.jpg?rlkey=8ca8r4pikh8lugqwfph48dzfd&amp;dl=0","Click to download Image")</f>
      </c>
      <c r="B131" s="0">
        <f>HYPERLINK("https://dl.dropboxusercontent.com/scl/fi/zjtv6aflibskf47pvu6y7/womens-size-chartsreign.jpg?rlkey=on35pamuu8efi0xm3ugegvbvl&amp;dl=0","Click to download SizeChart")</f>
      </c>
      <c r="C131" s="0" t="inlineStr">
        <is>
          <t>Reign Women's Hoodie</t>
        </is>
      </c>
      <c r="D131" s="1">
        <v>138320</v>
      </c>
      <c r="E131" s="0" t="inlineStr">
        <is>
          <t>IOWA REIGN W OG:138320Z-12PK</t>
        </is>
      </c>
      <c r="F131" s="2">
        <v>800138320991</v>
      </c>
      <c r="G131" s="0" t="inlineStr">
        <is>
          <t>WOMENS</t>
        </is>
      </c>
      <c r="H131" s="0" t="inlineStr">
        <is>
          <t>12 PACK</t>
        </is>
      </c>
      <c r="I131" s="0">
        <v>575.9</v>
      </c>
      <c r="J131" s="0">
        <v>0</v>
      </c>
    </row>
    <row r="132" spans="1:10" customHeight="0">
      <c r="A132" s="0">
        <f>HYPERLINK("https://dl.dropboxusercontent.com/scl/fi/7ydi3m2b42ten0iuna5zr/phoenix-138539-tn.jpg?rlkey=m6en13vj3cb006zzdg9jeqck1&amp;dl=0","Click to download Image")</f>
      </c>
      <c r="C132" s="0" t="inlineStr">
        <is>
          <t>Phoenix Women's Cardigan</t>
        </is>
      </c>
      <c r="D132" s="1">
        <v>138539</v>
      </c>
      <c r="E132" s="0" t="inlineStr">
        <is>
          <t>IOWA PHOENI W BK:138539A-S</t>
        </is>
      </c>
      <c r="F132" s="2">
        <v>800138539041</v>
      </c>
      <c r="G132" s="0" t="inlineStr">
        <is>
          <t>WOMENS</t>
        </is>
      </c>
      <c r="H132" s="0" t="inlineStr">
        <is>
          <t>S</t>
        </is>
      </c>
      <c r="I132" s="0">
        <v>59.99</v>
      </c>
      <c r="J132" s="0">
        <v>5</v>
      </c>
    </row>
    <row r="133" spans="1:10" customHeight="0">
      <c r="A133" s="0">
        <f>HYPERLINK("https://dl.dropboxusercontent.com/scl/fi/7ydi3m2b42ten0iuna5zr/phoenix-138539-tn.jpg?rlkey=m6en13vj3cb006zzdg9jeqck1&amp;dl=0","Click to download Image")</f>
      </c>
      <c r="C133" s="0" t="inlineStr">
        <is>
          <t>Phoenix Women's Cardigan</t>
        </is>
      </c>
      <c r="D133" s="1">
        <v>138539</v>
      </c>
      <c r="E133" s="0" t="inlineStr">
        <is>
          <t>IOWA PHOENI W BK:138539B-M</t>
        </is>
      </c>
      <c r="F133" s="2">
        <v>800138539058</v>
      </c>
      <c r="G133" s="0" t="inlineStr">
        <is>
          <t>WOMENS</t>
        </is>
      </c>
      <c r="H133" s="0" t="inlineStr">
        <is>
          <t>M</t>
        </is>
      </c>
      <c r="I133" s="0">
        <v>59.99</v>
      </c>
      <c r="J133" s="0">
        <v>5</v>
      </c>
    </row>
    <row r="134" spans="1:10" customHeight="0">
      <c r="A134" s="0">
        <f>HYPERLINK("https://dl.dropboxusercontent.com/scl/fi/7ydi3m2b42ten0iuna5zr/phoenix-138539-tn.jpg?rlkey=m6en13vj3cb006zzdg9jeqck1&amp;dl=0","Click to download Image")</f>
      </c>
      <c r="C134" s="0" t="inlineStr">
        <is>
          <t>Phoenix Women's Cardigan</t>
        </is>
      </c>
      <c r="D134" s="1">
        <v>138539</v>
      </c>
      <c r="E134" s="0" t="inlineStr">
        <is>
          <t>IOWA PHOENI W BK:138539C-L</t>
        </is>
      </c>
      <c r="F134" s="2">
        <v>800138539065</v>
      </c>
      <c r="G134" s="0" t="inlineStr">
        <is>
          <t>WOMENS</t>
        </is>
      </c>
      <c r="H134" s="0" t="inlineStr">
        <is>
          <t>L</t>
        </is>
      </c>
      <c r="I134" s="0">
        <v>59.99</v>
      </c>
      <c r="J134" s="0">
        <v>6</v>
      </c>
    </row>
    <row r="135" spans="1:10" customHeight="0">
      <c r="A135" s="0">
        <f>HYPERLINK("https://dl.dropboxusercontent.com/scl/fi/7ydi3m2b42ten0iuna5zr/phoenix-138539-tn.jpg?rlkey=m6en13vj3cb006zzdg9jeqck1&amp;dl=0","Click to download Image")</f>
      </c>
      <c r="C135" s="0" t="inlineStr">
        <is>
          <t>Phoenix Women's Cardigan</t>
        </is>
      </c>
      <c r="D135" s="1">
        <v>138539</v>
      </c>
      <c r="E135" s="0" t="inlineStr">
        <is>
          <t>IOWA PHOENI W BK:138539D-XL</t>
        </is>
      </c>
      <c r="F135" s="2">
        <v>800138539072</v>
      </c>
      <c r="G135" s="0" t="inlineStr">
        <is>
          <t>WOMENS</t>
        </is>
      </c>
      <c r="H135" s="0" t="inlineStr">
        <is>
          <t>XL</t>
        </is>
      </c>
      <c r="I135" s="0">
        <v>59.99</v>
      </c>
      <c r="J135" s="0">
        <v>2</v>
      </c>
    </row>
    <row r="136" spans="1:10" customHeight="0">
      <c r="A136" s="0">
        <f>HYPERLINK("https://dl.dropboxusercontent.com/scl/fi/7ydi3m2b42ten0iuna5zr/phoenix-138539-tn.jpg?rlkey=m6en13vj3cb006zzdg9jeqck1&amp;dl=0","Click to download Image")</f>
      </c>
      <c r="C136" s="0" t="inlineStr">
        <is>
          <t>Phoenix Women's Cardigan</t>
        </is>
      </c>
      <c r="D136" s="1">
        <v>138539</v>
      </c>
      <c r="E136" s="0" t="inlineStr">
        <is>
          <t>IOWA PHOENI W BK:138539E-2XL</t>
        </is>
      </c>
      <c r="F136" s="2">
        <v>800138539089</v>
      </c>
      <c r="G136" s="0" t="inlineStr">
        <is>
          <t>WOMENS</t>
        </is>
      </c>
      <c r="H136" s="0" t="inlineStr">
        <is>
          <t>2XL</t>
        </is>
      </c>
      <c r="I136" s="0">
        <v>59.99</v>
      </c>
      <c r="J136" s="0">
        <v>0</v>
      </c>
    </row>
    <row r="137" spans="1:10" customHeight="0">
      <c r="A137" s="0">
        <f>HYPERLINK("https://dl.dropboxusercontent.com/scl/fi/7ydi3m2b42ten0iuna5zr/phoenix-138539-tn.jpg?rlkey=m6en13vj3cb006zzdg9jeqck1&amp;dl=0","Click to download Image")</f>
      </c>
      <c r="C137" s="0" t="inlineStr">
        <is>
          <t>Phoenix Women's Cardigan</t>
        </is>
      </c>
      <c r="D137" s="1">
        <v>138539</v>
      </c>
      <c r="E137" s="0" t="inlineStr">
        <is>
          <t>IOWA PHOENI W BK:138539F-3XL</t>
        </is>
      </c>
      <c r="F137" s="2">
        <v>800138539096</v>
      </c>
      <c r="G137" s="0" t="inlineStr">
        <is>
          <t>WOMENS</t>
        </is>
      </c>
      <c r="H137" s="0" t="inlineStr">
        <is>
          <t>3XL</t>
        </is>
      </c>
      <c r="I137" s="0">
        <v>59.99</v>
      </c>
      <c r="J137" s="0">
        <v>0</v>
      </c>
    </row>
    <row r="138" spans="1:10" customHeight="0">
      <c r="A138" s="0">
        <f>HYPERLINK("https://dl.dropboxusercontent.com/scl/fi/7ydi3m2b42ten0iuna5zr/phoenix-138539-tn.jpg?rlkey=m6en13vj3cb006zzdg9jeqck1&amp;dl=0","Click to download Image")</f>
      </c>
      <c r="C138" s="0" t="inlineStr">
        <is>
          <t>Phoenix Women's Cardigan</t>
        </is>
      </c>
      <c r="D138" s="1">
        <v>138539</v>
      </c>
      <c r="E138" s="0" t="inlineStr">
        <is>
          <t>IOWA PHOENI W BK:138539Z-12PK</t>
        </is>
      </c>
      <c r="F138" s="2">
        <v>800138539997</v>
      </c>
      <c r="G138" s="0" t="inlineStr">
        <is>
          <t>WOMENS</t>
        </is>
      </c>
      <c r="H138" s="0" t="inlineStr">
        <is>
          <t>12 PACK</t>
        </is>
      </c>
      <c r="I138" s="0">
        <v>575.9</v>
      </c>
      <c r="J138" s="0">
        <v>0</v>
      </c>
    </row>
    <row r="139" spans="1:10" customHeight="0">
      <c r="A139" s="0">
        <f>HYPERLINK("https://dl.dropboxusercontent.com/scl/fi/fyzmi2s8l37erw5mo2hgz/w5x3a870917778.jpg?rlkey=y8w0nrjdo0uv80wvzk5jgk1m3&amp;dl=0","Click to download Image")</f>
      </c>
      <c r="B139" s="0">
        <f>HYPERLINK("https://dl.dropboxusercontent.com/scl/fi/eiljb8vi3hrqqrsihzfzf/womens-bottoms-size-chartsellison.jpg?rlkey=ycy5k934kgviclfiotdrrzc0g&amp;dl=0","Click to download SizeChart")</f>
      </c>
      <c r="C139" s="0" t="inlineStr">
        <is>
          <t>Ellison Women's Joggers</t>
        </is>
      </c>
      <c r="D139" s="1">
        <v>137277</v>
      </c>
      <c r="E139" s="0" t="inlineStr">
        <is>
          <t>IOWA ELLISO W HG:137277A-S</t>
        </is>
      </c>
      <c r="F139" s="2">
        <v>800137277012</v>
      </c>
      <c r="G139" s="0" t="inlineStr">
        <is>
          <t>WOMENS</t>
        </is>
      </c>
      <c r="H139" s="0" t="inlineStr">
        <is>
          <t>S</t>
        </is>
      </c>
      <c r="I139" s="0">
        <v>39.99</v>
      </c>
      <c r="J139" s="0">
        <v>7</v>
      </c>
    </row>
    <row r="140" spans="1:10" customHeight="0">
      <c r="A140" s="0">
        <f>HYPERLINK("https://dl.dropboxusercontent.com/scl/fi/fyzmi2s8l37erw5mo2hgz/w5x3a870917778.jpg?rlkey=y8w0nrjdo0uv80wvzk5jgk1m3&amp;dl=0","Click to download Image")</f>
      </c>
      <c r="B140" s="0">
        <f>HYPERLINK("https://dl.dropboxusercontent.com/scl/fi/eiljb8vi3hrqqrsihzfzf/womens-bottoms-size-chartsellison.jpg?rlkey=ycy5k934kgviclfiotdrrzc0g&amp;dl=0","Click to download SizeChart")</f>
      </c>
      <c r="C140" s="0" t="inlineStr">
        <is>
          <t>Ellison Women's Joggers</t>
        </is>
      </c>
      <c r="D140" s="1">
        <v>137277</v>
      </c>
      <c r="E140" s="0" t="inlineStr">
        <is>
          <t>IOWA ELLISO W HG:137277B-M</t>
        </is>
      </c>
      <c r="F140" s="2">
        <v>800137277029</v>
      </c>
      <c r="G140" s="0" t="inlineStr">
        <is>
          <t>WOMENS</t>
        </is>
      </c>
      <c r="H140" s="0" t="inlineStr">
        <is>
          <t>M</t>
        </is>
      </c>
      <c r="I140" s="0">
        <v>39.99</v>
      </c>
      <c r="J140" s="0">
        <v>17</v>
      </c>
    </row>
    <row r="141" spans="1:10" customHeight="0">
      <c r="A141" s="0">
        <f>HYPERLINK("https://dl.dropboxusercontent.com/scl/fi/fyzmi2s8l37erw5mo2hgz/w5x3a870917778.jpg?rlkey=y8w0nrjdo0uv80wvzk5jgk1m3&amp;dl=0","Click to download Image")</f>
      </c>
      <c r="B141" s="0">
        <f>HYPERLINK("https://dl.dropboxusercontent.com/scl/fi/eiljb8vi3hrqqrsihzfzf/womens-bottoms-size-chartsellison.jpg?rlkey=ycy5k934kgviclfiotdrrzc0g&amp;dl=0","Click to download SizeChart")</f>
      </c>
      <c r="C141" s="0" t="inlineStr">
        <is>
          <t>Ellison Women's Joggers</t>
        </is>
      </c>
      <c r="D141" s="1">
        <v>137277</v>
      </c>
      <c r="E141" s="0" t="inlineStr">
        <is>
          <t>IOWA ELLISO W HG:137277C-L</t>
        </is>
      </c>
      <c r="F141" s="2">
        <v>800137277036</v>
      </c>
      <c r="G141" s="0" t="inlineStr">
        <is>
          <t>WOMENS</t>
        </is>
      </c>
      <c r="H141" s="0" t="inlineStr">
        <is>
          <t>L</t>
        </is>
      </c>
      <c r="I141" s="0">
        <v>39.99</v>
      </c>
      <c r="J141" s="0">
        <v>19</v>
      </c>
    </row>
    <row r="142" spans="1:10" customHeight="0">
      <c r="A142" s="0">
        <f>HYPERLINK("https://dl.dropboxusercontent.com/scl/fi/fyzmi2s8l37erw5mo2hgz/w5x3a870917778.jpg?rlkey=y8w0nrjdo0uv80wvzk5jgk1m3&amp;dl=0","Click to download Image")</f>
      </c>
      <c r="B142" s="0">
        <f>HYPERLINK("https://dl.dropboxusercontent.com/scl/fi/eiljb8vi3hrqqrsihzfzf/womens-bottoms-size-chartsellison.jpg?rlkey=ycy5k934kgviclfiotdrrzc0g&amp;dl=0","Click to download SizeChart")</f>
      </c>
      <c r="C142" s="0" t="inlineStr">
        <is>
          <t>Ellison Women's Joggers</t>
        </is>
      </c>
      <c r="D142" s="1">
        <v>137277</v>
      </c>
      <c r="E142" s="0" t="inlineStr">
        <is>
          <t>IOWA ELLISO W HG:137277D-XL</t>
        </is>
      </c>
      <c r="F142" s="2">
        <v>800137277043</v>
      </c>
      <c r="G142" s="0" t="inlineStr">
        <is>
          <t>WOMENS</t>
        </is>
      </c>
      <c r="H142" s="0" t="inlineStr">
        <is>
          <t>XL</t>
        </is>
      </c>
      <c r="I142" s="0">
        <v>39.99</v>
      </c>
      <c r="J142" s="0">
        <v>0</v>
      </c>
    </row>
    <row r="143" spans="1:10" customHeight="0">
      <c r="A143" s="0">
        <f>HYPERLINK("https://dl.dropboxusercontent.com/scl/fi/fyzmi2s8l37erw5mo2hgz/w5x3a870917778.jpg?rlkey=y8w0nrjdo0uv80wvzk5jgk1m3&amp;dl=0","Click to download Image")</f>
      </c>
      <c r="B143" s="0">
        <f>HYPERLINK("https://dl.dropboxusercontent.com/scl/fi/eiljb8vi3hrqqrsihzfzf/womens-bottoms-size-chartsellison.jpg?rlkey=ycy5k934kgviclfiotdrrzc0g&amp;dl=0","Click to download SizeChart")</f>
      </c>
      <c r="C143" s="0" t="inlineStr">
        <is>
          <t>Ellison Women's Joggers</t>
        </is>
      </c>
      <c r="D143" s="1">
        <v>137277</v>
      </c>
      <c r="E143" s="0" t="inlineStr">
        <is>
          <t>IOWA ELLISO W HG:137277E-2XL</t>
        </is>
      </c>
      <c r="F143" s="2">
        <v>800137277050</v>
      </c>
      <c r="G143" s="0" t="inlineStr">
        <is>
          <t>WOMENS</t>
        </is>
      </c>
      <c r="H143" s="0" t="inlineStr">
        <is>
          <t>2XL</t>
        </is>
      </c>
      <c r="I143" s="0">
        <v>39.99</v>
      </c>
      <c r="J143" s="0">
        <v>2</v>
      </c>
    </row>
    <row r="144" spans="1:10" customHeight="0">
      <c r="A144" s="0">
        <f>HYPERLINK("https://dl.dropboxusercontent.com/scl/fi/fyzmi2s8l37erw5mo2hgz/w5x3a870917778.jpg?rlkey=y8w0nrjdo0uv80wvzk5jgk1m3&amp;dl=0","Click to download Image")</f>
      </c>
      <c r="B144" s="0">
        <f>HYPERLINK("https://dl.dropboxusercontent.com/scl/fi/eiljb8vi3hrqqrsihzfzf/womens-bottoms-size-chartsellison.jpg?rlkey=ycy5k934kgviclfiotdrrzc0g&amp;dl=0","Click to download SizeChart")</f>
      </c>
      <c r="C144" s="0" t="inlineStr">
        <is>
          <t>Ellison Women's Joggers</t>
        </is>
      </c>
      <c r="D144" s="1">
        <v>137277</v>
      </c>
      <c r="E144" s="0" t="inlineStr">
        <is>
          <t>IOWA ELLISO W HG:137277F-3XL</t>
        </is>
      </c>
      <c r="F144" s="2">
        <v>800137277067</v>
      </c>
      <c r="G144" s="0" t="inlineStr">
        <is>
          <t>WOMENS</t>
        </is>
      </c>
      <c r="H144" s="0" t="inlineStr">
        <is>
          <t>3XL</t>
        </is>
      </c>
      <c r="I144" s="0">
        <v>39.99</v>
      </c>
      <c r="J144" s="0">
        <v>0</v>
      </c>
    </row>
    <row r="145" spans="1:10" customHeight="0">
      <c r="A145" s="0">
        <f>HYPERLINK("https://dl.dropboxusercontent.com/scl/fi/fyzmi2s8l37erw5mo2hgz/w5x3a870917778.jpg?rlkey=y8w0nrjdo0uv80wvzk5jgk1m3&amp;dl=0","Click to download Image")</f>
      </c>
      <c r="B145" s="0">
        <f>HYPERLINK("https://dl.dropboxusercontent.com/scl/fi/eiljb8vi3hrqqrsihzfzf/womens-bottoms-size-chartsellison.jpg?rlkey=ycy5k934kgviclfiotdrrzc0g&amp;dl=0","Click to download SizeChart")</f>
      </c>
      <c r="C145" s="0" t="inlineStr">
        <is>
          <t>Ellison Women's Joggers</t>
        </is>
      </c>
      <c r="D145" s="1">
        <v>137277</v>
      </c>
      <c r="E145" s="0" t="inlineStr">
        <is>
          <t>IOWA ELLISO W HG:137277Z-12PK</t>
        </is>
      </c>
      <c r="F145" s="2">
        <v>800137277999</v>
      </c>
      <c r="G145" s="0" t="inlineStr">
        <is>
          <t>WOMENS</t>
        </is>
      </c>
      <c r="H145" s="0" t="inlineStr">
        <is>
          <t>12 PACK</t>
        </is>
      </c>
      <c r="I145" s="0">
        <v>383.9</v>
      </c>
      <c r="J145" s="0">
        <v>0</v>
      </c>
    </row>
    <row r="146" spans="1:10" customHeight="0">
      <c r="A146" s="0">
        <f>HYPERLINK("https://dl.dropboxusercontent.com/scl/fi/wea907j9fsufhdj78evh1/jaxon47998.jpg?rlkey=xb3ffojw99x4jt7bj4xq3x5vk&amp;dl=0","Click to download Image")</f>
      </c>
      <c r="C146" s="0" t="inlineStr">
        <is>
          <t>Jaxon Youth Short Sleeve Shirt</t>
        </is>
      </c>
      <c r="D146" s="1">
        <v>139592</v>
      </c>
      <c r="E146" s="0" t="inlineStr">
        <is>
          <t>IOWA JAXON Y HG:Y139592B-YS</t>
        </is>
      </c>
      <c r="F146" s="2">
        <v>800139592014</v>
      </c>
      <c r="G146" s="0" t="inlineStr">
        <is>
          <t>YOUTH</t>
        </is>
      </c>
      <c r="H146" s="0" t="inlineStr">
        <is>
          <t>YS</t>
        </is>
      </c>
      <c r="I146" s="0">
        <v>24.99</v>
      </c>
      <c r="J146" s="0">
        <v>1</v>
      </c>
    </row>
    <row r="147" spans="1:10" customHeight="0">
      <c r="A147" s="0">
        <f>HYPERLINK("https://dl.dropboxusercontent.com/scl/fi/wea907j9fsufhdj78evh1/jaxon47998.jpg?rlkey=xb3ffojw99x4jt7bj4xq3x5vk&amp;dl=0","Click to download Image")</f>
      </c>
      <c r="C147" s="0" t="inlineStr">
        <is>
          <t>Jaxon Youth Short Sleeve Shirt</t>
        </is>
      </c>
      <c r="D147" s="1">
        <v>139592</v>
      </c>
      <c r="E147" s="0" t="inlineStr">
        <is>
          <t>IOWA JAXON Y HG:Y139592C-YM</t>
        </is>
      </c>
      <c r="F147" s="2">
        <v>800139592021</v>
      </c>
      <c r="G147" s="0" t="inlineStr">
        <is>
          <t>YOUTH</t>
        </is>
      </c>
      <c r="H147" s="0" t="inlineStr">
        <is>
          <t>YM</t>
        </is>
      </c>
      <c r="I147" s="0">
        <v>24.99</v>
      </c>
      <c r="J147" s="0">
        <v>0</v>
      </c>
    </row>
    <row r="148" spans="1:10" customHeight="0">
      <c r="A148" s="0">
        <f>HYPERLINK("https://dl.dropboxusercontent.com/scl/fi/wea907j9fsufhdj78evh1/jaxon47998.jpg?rlkey=xb3ffojw99x4jt7bj4xq3x5vk&amp;dl=0","Click to download Image")</f>
      </c>
      <c r="C148" s="0" t="inlineStr">
        <is>
          <t>Jaxon Youth Short Sleeve Shirt</t>
        </is>
      </c>
      <c r="D148" s="1">
        <v>139592</v>
      </c>
      <c r="E148" s="0" t="inlineStr">
        <is>
          <t>IOWA JAXON Y HG:Y139592D-YL</t>
        </is>
      </c>
      <c r="F148" s="2">
        <v>800139592038</v>
      </c>
      <c r="G148" s="0" t="inlineStr">
        <is>
          <t>YOUTH</t>
        </is>
      </c>
      <c r="H148" s="0" t="inlineStr">
        <is>
          <t>YL</t>
        </is>
      </c>
      <c r="I148" s="0">
        <v>24.99</v>
      </c>
      <c r="J148" s="0">
        <v>2</v>
      </c>
    </row>
    <row r="149" spans="1:10" customHeight="0">
      <c r="A149" s="0">
        <f>HYPERLINK("https://dl.dropboxusercontent.com/scl/fi/wea907j9fsufhdj78evh1/jaxon47998.jpg?rlkey=xb3ffojw99x4jt7bj4xq3x5vk&amp;dl=0","Click to download Image")</f>
      </c>
      <c r="C149" s="0" t="inlineStr">
        <is>
          <t>Jaxon Youth Short Sleeve Shirt</t>
        </is>
      </c>
      <c r="D149" s="1">
        <v>139592</v>
      </c>
      <c r="E149" s="0" t="inlineStr">
        <is>
          <t>IOWA JAXON Y HG:Y139592E-YXL</t>
        </is>
      </c>
      <c r="F149" s="2">
        <v>800139592045</v>
      </c>
      <c r="G149" s="0" t="inlineStr">
        <is>
          <t>YOUTH</t>
        </is>
      </c>
      <c r="H149" s="0" t="inlineStr">
        <is>
          <t>YXL</t>
        </is>
      </c>
      <c r="I149" s="0">
        <v>24.99</v>
      </c>
      <c r="J149" s="0">
        <v>6</v>
      </c>
    </row>
    <row r="150" spans="1:10" customHeight="0">
      <c r="A150" s="0">
        <f>HYPERLINK("https://dl.dropboxusercontent.com/scl/fi/wea907j9fsufhdj78evh1/jaxon47998.jpg?rlkey=xb3ffojw99x4jt7bj4xq3x5vk&amp;dl=0","Click to download Image")</f>
      </c>
      <c r="C150" s="0" t="inlineStr">
        <is>
          <t>Jaxon Youth Short Sleeve Shirt</t>
        </is>
      </c>
      <c r="D150" s="1">
        <v>139592</v>
      </c>
      <c r="E150" s="0" t="inlineStr">
        <is>
          <t>IOWA JAXON Y HG:Y139592Z-12PK</t>
        </is>
      </c>
      <c r="F150" s="2">
        <v>800139592991</v>
      </c>
      <c r="G150" s="0" t="inlineStr">
        <is>
          <t>YOUTH</t>
        </is>
      </c>
      <c r="H150" s="0" t="inlineStr">
        <is>
          <t>12 PACK</t>
        </is>
      </c>
      <c r="I150" s="0">
        <v>239.9</v>
      </c>
      <c r="J150" s="0">
        <v>0</v>
      </c>
    </row>
    <row r="151" spans="1:10" customHeight="0">
      <c r="A151" s="0">
        <f>HYPERLINK("https://dl.dropboxusercontent.com/scl/fi/eshnh2xgfsq03lj3dj9sz/steffi-135134-t.jpg?rlkey=px5doyiq2ox0ybc9hpo0aui4d&amp;dl=0","Click to download Image")</f>
      </c>
      <c r="C151" s="0" t="inlineStr">
        <is>
          <t>Steffi Women's Cap</t>
        </is>
      </c>
      <c r="D151" s="1">
        <v>135134</v>
      </c>
      <c r="E151" s="0" t="inlineStr">
        <is>
          <t>IOWA STEFFI A BK:135134</t>
        </is>
      </c>
      <c r="F151" s="2">
        <v>700135134013</v>
      </c>
      <c r="G151" s="0" t="inlineStr">
        <is>
          <t>WOMENS</t>
        </is>
      </c>
      <c r="H151" s="0" t="inlineStr">
        <is>
          <t>WOMENS</t>
        </is>
      </c>
      <c r="I151" s="0">
        <v>24.99</v>
      </c>
      <c r="J151" s="0">
        <v>28</v>
      </c>
    </row>
    <row r="152" spans="1:10" customHeight="0">
      <c r="A152" s="0">
        <f>HYPERLINK("https://dl.dropboxusercontent.com/scl/fi/74g35z014yoh0mwgogtbs/relay-154668-f.jpg?rlkey=f9bvbb7cnjvoxxmgnqs0vv2u7&amp;dl=0","Click to download Image")</f>
      </c>
      <c r="C152" s="0" t="inlineStr">
        <is>
          <t>Relay Sling Bag</t>
        </is>
      </c>
      <c r="D152" s="1">
        <v>154668</v>
      </c>
      <c r="E152" s="0" t="inlineStr">
        <is>
          <t>IOWA RELAY BK:154668</t>
        </is>
      </c>
      <c r="F152" s="2">
        <v>900154668012</v>
      </c>
      <c r="I152" s="0">
        <v>42.99</v>
      </c>
      <c r="J152" s="0">
        <v>17</v>
      </c>
    </row>
    <row r="153" spans="1:10" customHeight="0">
      <c r="A153" s="0">
        <f>HYPERLINK("https://dl.dropboxusercontent.com/scl/fi/tq334ooxd44bekwvo18gb/cheryl-134985-tn.jpg?rlkey=z5idp5xklpyxnsvhhl20vy4ct&amp;dl=0","Click to download Image")</f>
      </c>
      <c r="C153" s="0" t="inlineStr">
        <is>
          <t>Cheryl Women's Cap </t>
        </is>
      </c>
      <c r="D153" s="1">
        <v>134985</v>
      </c>
      <c r="E153" s="0" t="inlineStr">
        <is>
          <t>IOWA CHERYL A GY:134985</t>
        </is>
      </c>
      <c r="F153" s="2">
        <v>700134985012</v>
      </c>
      <c r="G153" s="0" t="inlineStr">
        <is>
          <t>WOMENS</t>
        </is>
      </c>
      <c r="H153" s="0" t="inlineStr">
        <is>
          <t>WOMENS</t>
        </is>
      </c>
      <c r="I153" s="0">
        <v>24.99</v>
      </c>
      <c r="J153" s="0">
        <v>44</v>
      </c>
    </row>
    <row r="154" spans="1:10" customHeight="0">
      <c r="A154" s="0">
        <f>HYPERLINK("https://dl.dropboxusercontent.com/scl/fi/vuc3mrt7zyhfyk9fvgji8/craft-154510-f.jpg?rlkey=8k5goghlmi6hk8u3vc777ckjm&amp;dl=0","Click to download Image")</f>
      </c>
      <c r="C154" s="0" t="inlineStr">
        <is>
          <t>Craft Men's Coolmax Polo</t>
        </is>
      </c>
      <c r="D154" s="1">
        <v>154510</v>
      </c>
      <c r="E154" s="0" t="inlineStr">
        <is>
          <t>IOWA CRAFT M WE:154510A-S</t>
        </is>
      </c>
      <c r="F154" s="2">
        <v>800154510048</v>
      </c>
      <c r="G154" s="0" t="inlineStr">
        <is>
          <t>MENS</t>
        </is>
      </c>
      <c r="H154" s="0" t="inlineStr">
        <is>
          <t>S</t>
        </is>
      </c>
      <c r="I154" s="0">
        <v>44.99</v>
      </c>
      <c r="J154" s="0">
        <v>2</v>
      </c>
    </row>
    <row r="155" spans="1:10" customHeight="0">
      <c r="A155" s="0">
        <f>HYPERLINK("https://dl.dropboxusercontent.com/scl/fi/vuc3mrt7zyhfyk9fvgji8/craft-154510-f.jpg?rlkey=8k5goghlmi6hk8u3vc777ckjm&amp;dl=0","Click to download Image")</f>
      </c>
      <c r="C155" s="0" t="inlineStr">
        <is>
          <t>Craft Men's Coolmax Polo</t>
        </is>
      </c>
      <c r="D155" s="1">
        <v>154510</v>
      </c>
      <c r="E155" s="0" t="inlineStr">
        <is>
          <t>IOWA CRAFT M WE:154510B-M</t>
        </is>
      </c>
      <c r="F155" s="2">
        <v>800154510055</v>
      </c>
      <c r="G155" s="0" t="inlineStr">
        <is>
          <t>MENS</t>
        </is>
      </c>
      <c r="H155" s="0" t="inlineStr">
        <is>
          <t>M</t>
        </is>
      </c>
      <c r="I155" s="0">
        <v>44.99</v>
      </c>
      <c r="J155" s="0">
        <v>4</v>
      </c>
    </row>
    <row r="156" spans="1:10" customHeight="0">
      <c r="A156" s="0">
        <f>HYPERLINK("https://dl.dropboxusercontent.com/scl/fi/vuc3mrt7zyhfyk9fvgji8/craft-154510-f.jpg?rlkey=8k5goghlmi6hk8u3vc777ckjm&amp;dl=0","Click to download Image")</f>
      </c>
      <c r="C156" s="0" t="inlineStr">
        <is>
          <t>Craft Men's Coolmax Polo</t>
        </is>
      </c>
      <c r="D156" s="1">
        <v>154510</v>
      </c>
      <c r="E156" s="0" t="inlineStr">
        <is>
          <t>IOWA CRAFT M WE:154510C-L</t>
        </is>
      </c>
      <c r="F156" s="2">
        <v>800154510062</v>
      </c>
      <c r="G156" s="0" t="inlineStr">
        <is>
          <t>MENS</t>
        </is>
      </c>
      <c r="H156" s="0" t="inlineStr">
        <is>
          <t>L</t>
        </is>
      </c>
      <c r="I156" s="0">
        <v>44.99</v>
      </c>
      <c r="J156" s="0">
        <v>5</v>
      </c>
    </row>
    <row r="157" spans="1:10" customHeight="0">
      <c r="A157" s="0">
        <f>HYPERLINK("https://dl.dropboxusercontent.com/scl/fi/vuc3mrt7zyhfyk9fvgji8/craft-154510-f.jpg?rlkey=8k5goghlmi6hk8u3vc777ckjm&amp;dl=0","Click to download Image")</f>
      </c>
      <c r="C157" s="0" t="inlineStr">
        <is>
          <t>Craft Men's Coolmax Polo</t>
        </is>
      </c>
      <c r="D157" s="1">
        <v>154510</v>
      </c>
      <c r="E157" s="0" t="inlineStr">
        <is>
          <t>IOWA CRAFT M WE:154510D-XL</t>
        </is>
      </c>
      <c r="F157" s="2">
        <v>800154510079</v>
      </c>
      <c r="G157" s="0" t="inlineStr">
        <is>
          <t>MENS</t>
        </is>
      </c>
      <c r="H157" s="0" t="inlineStr">
        <is>
          <t>XL</t>
        </is>
      </c>
      <c r="I157" s="0">
        <v>44.99</v>
      </c>
      <c r="J157" s="0">
        <v>6</v>
      </c>
    </row>
    <row r="158" spans="1:10" customHeight="0">
      <c r="A158" s="0">
        <f>HYPERLINK("https://dl.dropboxusercontent.com/scl/fi/vuc3mrt7zyhfyk9fvgji8/craft-154510-f.jpg?rlkey=8k5goghlmi6hk8u3vc777ckjm&amp;dl=0","Click to download Image")</f>
      </c>
      <c r="C158" s="0" t="inlineStr">
        <is>
          <t>Craft Men's Coolmax Polo</t>
        </is>
      </c>
      <c r="D158" s="1">
        <v>154510</v>
      </c>
      <c r="E158" s="0" t="inlineStr">
        <is>
          <t>IOWA CRAFT M WE:154510E-2XL</t>
        </is>
      </c>
      <c r="F158" s="2">
        <v>800154510086</v>
      </c>
      <c r="G158" s="0" t="inlineStr">
        <is>
          <t>MENS</t>
        </is>
      </c>
      <c r="H158" s="0" t="inlineStr">
        <is>
          <t>2XL</t>
        </is>
      </c>
      <c r="I158" s="0">
        <v>44.99</v>
      </c>
      <c r="J158" s="0">
        <v>4</v>
      </c>
    </row>
    <row r="159" spans="1:10" customHeight="0">
      <c r="A159" s="0">
        <f>HYPERLINK("https://dl.dropboxusercontent.com/scl/fi/vuc3mrt7zyhfyk9fvgji8/craft-154510-f.jpg?rlkey=8k5goghlmi6hk8u3vc777ckjm&amp;dl=0","Click to download Image")</f>
      </c>
      <c r="C159" s="0" t="inlineStr">
        <is>
          <t>Craft Men's Coolmax Polo</t>
        </is>
      </c>
      <c r="D159" s="1">
        <v>154510</v>
      </c>
      <c r="E159" s="0" t="inlineStr">
        <is>
          <t>IOWA CRAFT M WE:154510F-3XL</t>
        </is>
      </c>
      <c r="F159" s="2">
        <v>800154510093</v>
      </c>
      <c r="G159" s="0" t="inlineStr">
        <is>
          <t>MENS</t>
        </is>
      </c>
      <c r="H159" s="0" t="inlineStr">
        <is>
          <t>3XL</t>
        </is>
      </c>
      <c r="I159" s="0">
        <v>44.99</v>
      </c>
      <c r="J159" s="0">
        <v>2</v>
      </c>
    </row>
    <row r="160" spans="1:10" customHeight="0">
      <c r="A160" s="0">
        <f>HYPERLINK("https://dl.dropboxusercontent.com/scl/fi/vuc3mrt7zyhfyk9fvgji8/craft-154510-f.jpg?rlkey=8k5goghlmi6hk8u3vc777ckjm&amp;dl=0","Click to download Image")</f>
      </c>
      <c r="C160" s="0" t="inlineStr">
        <is>
          <t>Craft Men's Coolmax Polo</t>
        </is>
      </c>
      <c r="D160" s="1">
        <v>154510</v>
      </c>
      <c r="E160" s="0" t="inlineStr">
        <is>
          <t>IOWA CRAFT M WE:154510Z-12PK</t>
        </is>
      </c>
      <c r="F160" s="2">
        <v>800154510994</v>
      </c>
      <c r="G160" s="0" t="inlineStr">
        <is>
          <t>MENS</t>
        </is>
      </c>
      <c r="H160" s="0" t="inlineStr">
        <is>
          <t>12 PACK</t>
        </is>
      </c>
      <c r="I160" s="0">
        <v>438</v>
      </c>
      <c r="J160" s="0">
        <v>0</v>
      </c>
    </row>
    <row r="161" spans="1:10" customHeight="0">
      <c r="A161" s="0">
        <f>HYPERLINK("https://dl.dropboxusercontent.com/scl/fi/ew4lke0rdfghbtbw96ush/relay-134383-af.jpg?rlkey=nuwco5gw9b6dutj237q4xr66x&amp;dl=0","Click to download Image")</f>
      </c>
      <c r="C161" s="0" t="inlineStr">
        <is>
          <t>Relay Sling Bag</t>
        </is>
      </c>
      <c r="D161" s="1">
        <v>134378</v>
      </c>
      <c r="E161" s="0" t="inlineStr">
        <is>
          <t>IOWA RELAY BK:134378</t>
        </is>
      </c>
      <c r="F161" s="2">
        <v>900134378016</v>
      </c>
      <c r="I161" s="0">
        <v>39.99</v>
      </c>
      <c r="J161" s="0">
        <v>68</v>
      </c>
    </row>
    <row r="162" spans="1:10" customHeight="0">
      <c r="A162" s="0">
        <f>HYPERLINK("https://dl.dropboxusercontent.com/scl/fi/vp5osp0revyde35wy5xyx/anita-134990-tn.jpg?rlkey=y2ikv4ep56p2ff5ltdyh81dpl&amp;dl=0","Click to download Image")</f>
      </c>
      <c r="C162" s="0" t="inlineStr">
        <is>
          <t>Anita Youth Cap</t>
        </is>
      </c>
      <c r="D162" s="1">
        <v>134990</v>
      </c>
      <c r="E162" s="0" t="inlineStr">
        <is>
          <t>IOWA ANITA Y DG:134990</t>
        </is>
      </c>
      <c r="F162" s="2">
        <v>700134990030</v>
      </c>
      <c r="G162" s="0" t="inlineStr">
        <is>
          <t>YOUTH</t>
        </is>
      </c>
      <c r="H162" s="0" t="inlineStr">
        <is>
          <t>YOUTH</t>
        </is>
      </c>
      <c r="I162" s="0">
        <v>24.99</v>
      </c>
      <c r="J162" s="0">
        <v>61</v>
      </c>
    </row>
    <row r="163" spans="1:10" customHeight="0">
      <c r="A163" s="0">
        <f>HYPERLINK("https://dl.dropboxusercontent.com/scl/fi/eojnrvdh1ge9mk6uarl9h/layne-134672-tn.jpg?rlkey=15urjndzf839lkespl02jg29g&amp;dl=0","Click to download Image")</f>
      </c>
      <c r="C163" s="0" t="inlineStr">
        <is>
          <t>Layne Youth Cap</t>
        </is>
      </c>
      <c r="D163" s="1">
        <v>134672</v>
      </c>
      <c r="E163" s="0" t="inlineStr">
        <is>
          <t>IOWA LAYNE Y BK:134672</t>
        </is>
      </c>
      <c r="F163" s="2">
        <v>700134672035</v>
      </c>
      <c r="G163" s="0" t="inlineStr">
        <is>
          <t>YOUTH</t>
        </is>
      </c>
      <c r="H163" s="0" t="inlineStr">
        <is>
          <t>YOUTH</t>
        </is>
      </c>
      <c r="I163" s="0">
        <v>24.99</v>
      </c>
      <c r="J163" s="0">
        <v>11</v>
      </c>
    </row>
    <row r="164" spans="1:10" customHeight="0">
      <c r="A164" s="0">
        <f>HYPERLINK("https://dl.dropboxusercontent.com/scl/fi/ih524kcvpsi6lr3hkek21/kingsley-134074-t.jpg?rlkey=vo9rvo2ixlfh2180fhsmga3k9&amp;dl=0","Click to download Image")</f>
      </c>
      <c r="B164" s="0">
        <f>HYPERLINK("https://dl.dropboxusercontent.com/scl/fi/ftxxjkm9ybkknpdm3xt99/graphic-update2022-infant.jpg?rlkey=hbthqzjfuf8v1vws71ocrt6b5&amp;dl=0","Click to download SizeChart")</f>
      </c>
      <c r="C164" s="0" t="inlineStr">
        <is>
          <t>Kingsley Infant Romper</t>
        </is>
      </c>
      <c r="D164" s="1">
        <v>134074</v>
      </c>
      <c r="E164" s="0" t="inlineStr">
        <is>
          <t>IOWA KINGSL I BK:134074A-0-3M</t>
        </is>
      </c>
      <c r="F164" s="2">
        <v>800134074003</v>
      </c>
      <c r="G164" s="0" t="inlineStr">
        <is>
          <t>INFANT</t>
        </is>
      </c>
      <c r="H164" s="0" t="inlineStr">
        <is>
          <t>0-3M</t>
        </is>
      </c>
      <c r="I164" s="0">
        <v>29.99</v>
      </c>
      <c r="J164" s="0">
        <v>0</v>
      </c>
    </row>
    <row r="165" spans="1:10" customHeight="0">
      <c r="A165" s="0">
        <f>HYPERLINK("https://dl.dropboxusercontent.com/scl/fi/ih524kcvpsi6lr3hkek21/kingsley-134074-t.jpg?rlkey=vo9rvo2ixlfh2180fhsmga3k9&amp;dl=0","Click to download Image")</f>
      </c>
      <c r="B165" s="0">
        <f>HYPERLINK("https://dl.dropboxusercontent.com/scl/fi/ftxxjkm9ybkknpdm3xt99/graphic-update2022-infant.jpg?rlkey=hbthqzjfuf8v1vws71ocrt6b5&amp;dl=0","Click to download SizeChart")</f>
      </c>
      <c r="C165" s="0" t="inlineStr">
        <is>
          <t>Kingsley Infant Romper</t>
        </is>
      </c>
      <c r="D165" s="1">
        <v>134074</v>
      </c>
      <c r="E165" s="0" t="inlineStr">
        <is>
          <t>IOWA KINGSL I BK:134074B-3-6M</t>
        </is>
      </c>
      <c r="F165" s="2">
        <v>800134074010</v>
      </c>
      <c r="G165" s="0" t="inlineStr">
        <is>
          <t>INFANT</t>
        </is>
      </c>
      <c r="H165" s="0" t="inlineStr">
        <is>
          <t>3-6M</t>
        </is>
      </c>
      <c r="I165" s="0">
        <v>29.99</v>
      </c>
      <c r="J165" s="0">
        <v>0</v>
      </c>
    </row>
    <row r="166" spans="1:10" customHeight="0">
      <c r="A166" s="0">
        <f>HYPERLINK("https://dl.dropboxusercontent.com/scl/fi/ih524kcvpsi6lr3hkek21/kingsley-134074-t.jpg?rlkey=vo9rvo2ixlfh2180fhsmga3k9&amp;dl=0","Click to download Image")</f>
      </c>
      <c r="B166" s="0">
        <f>HYPERLINK("https://dl.dropboxusercontent.com/scl/fi/ftxxjkm9ybkknpdm3xt99/graphic-update2022-infant.jpg?rlkey=hbthqzjfuf8v1vws71ocrt6b5&amp;dl=0","Click to download SizeChart")</f>
      </c>
      <c r="C166" s="0" t="inlineStr">
        <is>
          <t>Kingsley Infant Romper</t>
        </is>
      </c>
      <c r="D166" s="1">
        <v>134074</v>
      </c>
      <c r="E166" s="0" t="inlineStr">
        <is>
          <t>IOWA KINGSL I BK:134074C-6-9M</t>
        </is>
      </c>
      <c r="F166" s="2">
        <v>800134074027</v>
      </c>
      <c r="G166" s="0" t="inlineStr">
        <is>
          <t>INFANT</t>
        </is>
      </c>
      <c r="H166" s="0" t="inlineStr">
        <is>
          <t>6-9M</t>
        </is>
      </c>
      <c r="I166" s="0">
        <v>29.99</v>
      </c>
      <c r="J166" s="0">
        <v>1</v>
      </c>
    </row>
    <row r="167" spans="1:10" customHeight="0">
      <c r="A167" s="0">
        <f>HYPERLINK("https://dl.dropboxusercontent.com/scl/fi/ih524kcvpsi6lr3hkek21/kingsley-134074-t.jpg?rlkey=vo9rvo2ixlfh2180fhsmga3k9&amp;dl=0","Click to download Image")</f>
      </c>
      <c r="B167" s="0">
        <f>HYPERLINK("https://dl.dropboxusercontent.com/scl/fi/ftxxjkm9ybkknpdm3xt99/graphic-update2022-infant.jpg?rlkey=hbthqzjfuf8v1vws71ocrt6b5&amp;dl=0","Click to download SizeChart")</f>
      </c>
      <c r="C167" s="0" t="inlineStr">
        <is>
          <t>Kingsley Infant Romper</t>
        </is>
      </c>
      <c r="D167" s="1">
        <v>134074</v>
      </c>
      <c r="E167" s="0" t="inlineStr">
        <is>
          <t>IOWA KINGSL I BK:134074F-12M</t>
        </is>
      </c>
      <c r="F167" s="2">
        <v>800134074034</v>
      </c>
      <c r="G167" s="0" t="inlineStr">
        <is>
          <t>INFANT</t>
        </is>
      </c>
      <c r="H167" s="0" t="inlineStr">
        <is>
          <t>12M</t>
        </is>
      </c>
      <c r="I167" s="0">
        <v>29.99</v>
      </c>
      <c r="J167" s="0">
        <v>0</v>
      </c>
    </row>
    <row r="168" spans="1:10" customHeight="0">
      <c r="A168" s="0">
        <f>HYPERLINK("https://dl.dropboxusercontent.com/scl/fi/ih524kcvpsi6lr3hkek21/kingsley-134074-t.jpg?rlkey=vo9rvo2ixlfh2180fhsmga3k9&amp;dl=0","Click to download Image")</f>
      </c>
      <c r="B168" s="0">
        <f>HYPERLINK("https://dl.dropboxusercontent.com/scl/fi/ftxxjkm9ybkknpdm3xt99/graphic-update2022-infant.jpg?rlkey=hbthqzjfuf8v1vws71ocrt6b5&amp;dl=0","Click to download SizeChart")</f>
      </c>
      <c r="C168" s="0" t="inlineStr">
        <is>
          <t>Kingsley Infant Romper</t>
        </is>
      </c>
      <c r="D168" s="1">
        <v>134074</v>
      </c>
      <c r="E168" s="0" t="inlineStr">
        <is>
          <t>IOWA KINGSL I BK:134074Z-12PK</t>
        </is>
      </c>
      <c r="F168" s="2">
        <v>800134074997</v>
      </c>
      <c r="G168" s="0" t="inlineStr">
        <is>
          <t>INFANT</t>
        </is>
      </c>
      <c r="H168" s="0" t="inlineStr">
        <is>
          <t>12 PACK</t>
        </is>
      </c>
      <c r="I168" s="0">
        <v>288</v>
      </c>
      <c r="J168" s="0">
        <v>0</v>
      </c>
    </row>
    <row r="169" spans="1:10" customHeight="0">
      <c r="A169" s="0">
        <f>HYPERLINK("https://dl.dropboxusercontent.com/scl/fi/tqrcknpcl587ks8g0jsi0/keoni-154502-f.jpg?rlkey=qzgfilzjzbhehxs8tnuauxtep&amp;dl=0","Click to download Image")</f>
      </c>
      <c r="B169" s="0">
        <f>HYPERLINK("https://dl.dropboxusercontent.com/scl/fi/xyvl954axt9i32kpiehg5/mens-button-down-size-chartskeoni.jpg?rlkey=mgvyifzysdb8fx0fd2t8ou4oz&amp;dl=0","Click to download SizeChart")</f>
      </c>
      <c r="C169" s="0" t="inlineStr">
        <is>
          <t>Keoni Men's Button Up Shirt</t>
        </is>
      </c>
      <c r="D169" s="1">
        <v>154502</v>
      </c>
      <c r="E169" s="0" t="inlineStr">
        <is>
          <t>IOWA KEONI M BK:154502AA-XS</t>
        </is>
      </c>
      <c r="F169" s="2">
        <v>800154502036</v>
      </c>
      <c r="G169" s="0" t="inlineStr">
        <is>
          <t>MENS</t>
        </is>
      </c>
      <c r="H169" s="0" t="inlineStr">
        <is>
          <t>XS</t>
        </is>
      </c>
      <c r="I169" s="0">
        <v>54.99</v>
      </c>
      <c r="J169" s="0">
        <v>0</v>
      </c>
    </row>
    <row r="170" spans="1:10" customHeight="0">
      <c r="A170" s="0">
        <f>HYPERLINK("https://dl.dropboxusercontent.com/scl/fi/tqrcknpcl587ks8g0jsi0/keoni-154502-f.jpg?rlkey=qzgfilzjzbhehxs8tnuauxtep&amp;dl=0","Click to download Image")</f>
      </c>
      <c r="B170" s="0">
        <f>HYPERLINK("https://dl.dropboxusercontent.com/scl/fi/xyvl954axt9i32kpiehg5/mens-button-down-size-chartskeoni.jpg?rlkey=mgvyifzysdb8fx0fd2t8ou4oz&amp;dl=0","Click to download SizeChart")</f>
      </c>
      <c r="C170" s="0" t="inlineStr">
        <is>
          <t>Keoni Men's Button Up Shirt</t>
        </is>
      </c>
      <c r="D170" s="1">
        <v>154502</v>
      </c>
      <c r="E170" s="0" t="inlineStr">
        <is>
          <t>IOWA KEONI M BK:154502A-S</t>
        </is>
      </c>
      <c r="F170" s="2">
        <v>800154502043</v>
      </c>
      <c r="G170" s="0" t="inlineStr">
        <is>
          <t>MENS</t>
        </is>
      </c>
      <c r="H170" s="0" t="inlineStr">
        <is>
          <t>S</t>
        </is>
      </c>
      <c r="I170" s="0">
        <v>54.99</v>
      </c>
      <c r="J170" s="0">
        <v>2</v>
      </c>
    </row>
    <row r="171" spans="1:10" customHeight="0">
      <c r="A171" s="0">
        <f>HYPERLINK("https://dl.dropboxusercontent.com/scl/fi/tqrcknpcl587ks8g0jsi0/keoni-154502-f.jpg?rlkey=qzgfilzjzbhehxs8tnuauxtep&amp;dl=0","Click to download Image")</f>
      </c>
      <c r="B171" s="0">
        <f>HYPERLINK("https://dl.dropboxusercontent.com/scl/fi/xyvl954axt9i32kpiehg5/mens-button-down-size-chartskeoni.jpg?rlkey=mgvyifzysdb8fx0fd2t8ou4oz&amp;dl=0","Click to download SizeChart")</f>
      </c>
      <c r="C171" s="0" t="inlineStr">
        <is>
          <t>Keoni Men's Button Up Shirt</t>
        </is>
      </c>
      <c r="D171" s="1">
        <v>154502</v>
      </c>
      <c r="E171" s="0" t="inlineStr">
        <is>
          <t>IOWA KEONI M BK:154502B-M</t>
        </is>
      </c>
      <c r="F171" s="2">
        <v>800154502050</v>
      </c>
      <c r="G171" s="0" t="inlineStr">
        <is>
          <t>MENS</t>
        </is>
      </c>
      <c r="H171" s="0" t="inlineStr">
        <is>
          <t>M</t>
        </is>
      </c>
      <c r="I171" s="0">
        <v>54.99</v>
      </c>
      <c r="J171" s="0">
        <v>2</v>
      </c>
    </row>
    <row r="172" spans="1:10" customHeight="0">
      <c r="A172" s="0">
        <f>HYPERLINK("https://dl.dropboxusercontent.com/scl/fi/tqrcknpcl587ks8g0jsi0/keoni-154502-f.jpg?rlkey=qzgfilzjzbhehxs8tnuauxtep&amp;dl=0","Click to download Image")</f>
      </c>
      <c r="B172" s="0">
        <f>HYPERLINK("https://dl.dropboxusercontent.com/scl/fi/xyvl954axt9i32kpiehg5/mens-button-down-size-chartskeoni.jpg?rlkey=mgvyifzysdb8fx0fd2t8ou4oz&amp;dl=0","Click to download SizeChart")</f>
      </c>
      <c r="C172" s="0" t="inlineStr">
        <is>
          <t>Keoni Men's Button Up Shirt</t>
        </is>
      </c>
      <c r="D172" s="1">
        <v>154502</v>
      </c>
      <c r="E172" s="0" t="inlineStr">
        <is>
          <t>IOWA KEONI M BK:154502C-L</t>
        </is>
      </c>
      <c r="F172" s="2">
        <v>800154502067</v>
      </c>
      <c r="G172" s="0" t="inlineStr">
        <is>
          <t>MENS</t>
        </is>
      </c>
      <c r="H172" s="0" t="inlineStr">
        <is>
          <t>L</t>
        </is>
      </c>
      <c r="I172" s="0">
        <v>54.99</v>
      </c>
      <c r="J172" s="0">
        <v>3</v>
      </c>
    </row>
    <row r="173" spans="1:10" customHeight="0">
      <c r="A173" s="0">
        <f>HYPERLINK("https://dl.dropboxusercontent.com/scl/fi/tqrcknpcl587ks8g0jsi0/keoni-154502-f.jpg?rlkey=qzgfilzjzbhehxs8tnuauxtep&amp;dl=0","Click to download Image")</f>
      </c>
      <c r="B173" s="0">
        <f>HYPERLINK("https://dl.dropboxusercontent.com/scl/fi/xyvl954axt9i32kpiehg5/mens-button-down-size-chartskeoni.jpg?rlkey=mgvyifzysdb8fx0fd2t8ou4oz&amp;dl=0","Click to download SizeChart")</f>
      </c>
      <c r="C173" s="0" t="inlineStr">
        <is>
          <t>Keoni Men's Button Up Shirt</t>
        </is>
      </c>
      <c r="D173" s="1">
        <v>154502</v>
      </c>
      <c r="E173" s="0" t="inlineStr">
        <is>
          <t>IOWA KEONI M BK:154502D-XL</t>
        </is>
      </c>
      <c r="F173" s="2">
        <v>800154502074</v>
      </c>
      <c r="G173" s="0" t="inlineStr">
        <is>
          <t>MENS</t>
        </is>
      </c>
      <c r="H173" s="0" t="inlineStr">
        <is>
          <t>XL</t>
        </is>
      </c>
      <c r="I173" s="0">
        <v>54.99</v>
      </c>
      <c r="J173" s="0">
        <v>5</v>
      </c>
    </row>
    <row r="174" spans="1:10" customHeight="0">
      <c r="A174" s="0">
        <f>HYPERLINK("https://dl.dropboxusercontent.com/scl/fi/tqrcknpcl587ks8g0jsi0/keoni-154502-f.jpg?rlkey=qzgfilzjzbhehxs8tnuauxtep&amp;dl=0","Click to download Image")</f>
      </c>
      <c r="B174" s="0">
        <f>HYPERLINK("https://dl.dropboxusercontent.com/scl/fi/xyvl954axt9i32kpiehg5/mens-button-down-size-chartskeoni.jpg?rlkey=mgvyifzysdb8fx0fd2t8ou4oz&amp;dl=0","Click to download SizeChart")</f>
      </c>
      <c r="C174" s="0" t="inlineStr">
        <is>
          <t>Keoni Men's Button Up Shirt</t>
        </is>
      </c>
      <c r="D174" s="1">
        <v>154502</v>
      </c>
      <c r="E174" s="0" t="inlineStr">
        <is>
          <t>IOWA KEONI M BK:154502E-2XL</t>
        </is>
      </c>
      <c r="F174" s="2">
        <v>800154502081</v>
      </c>
      <c r="G174" s="0" t="inlineStr">
        <is>
          <t>MENS</t>
        </is>
      </c>
      <c r="H174" s="0" t="inlineStr">
        <is>
          <t>2XL</t>
        </is>
      </c>
      <c r="I174" s="0">
        <v>56.99</v>
      </c>
      <c r="J174" s="0">
        <v>2</v>
      </c>
    </row>
    <row r="175" spans="1:10" customHeight="0">
      <c r="A175" s="0">
        <f>HYPERLINK("https://dl.dropboxusercontent.com/scl/fi/tqrcknpcl587ks8g0jsi0/keoni-154502-f.jpg?rlkey=qzgfilzjzbhehxs8tnuauxtep&amp;dl=0","Click to download Image")</f>
      </c>
      <c r="B175" s="0">
        <f>HYPERLINK("https://dl.dropboxusercontent.com/scl/fi/xyvl954axt9i32kpiehg5/mens-button-down-size-chartskeoni.jpg?rlkey=mgvyifzysdb8fx0fd2t8ou4oz&amp;dl=0","Click to download SizeChart")</f>
      </c>
      <c r="C175" s="0" t="inlineStr">
        <is>
          <t>Keoni Men's Button Up Shirt</t>
        </is>
      </c>
      <c r="D175" s="1">
        <v>154502</v>
      </c>
      <c r="E175" s="0" t="inlineStr">
        <is>
          <t>IOWA KEONI M BK:154502F-3XL</t>
        </is>
      </c>
      <c r="F175" s="2">
        <v>800154502098</v>
      </c>
      <c r="G175" s="0" t="inlineStr">
        <is>
          <t>MENS</t>
        </is>
      </c>
      <c r="H175" s="0" t="inlineStr">
        <is>
          <t>3XL</t>
        </is>
      </c>
      <c r="I175" s="0">
        <v>56.99</v>
      </c>
      <c r="J175" s="0">
        <v>2</v>
      </c>
    </row>
    <row r="176" spans="1:10" customHeight="0">
      <c r="A176" s="0">
        <f>HYPERLINK("https://dl.dropboxusercontent.com/scl/fi/tqrcknpcl587ks8g0jsi0/keoni-154502-f.jpg?rlkey=qzgfilzjzbhehxs8tnuauxtep&amp;dl=0","Click to download Image")</f>
      </c>
      <c r="B176" s="0">
        <f>HYPERLINK("https://dl.dropboxusercontent.com/scl/fi/xyvl954axt9i32kpiehg5/mens-button-down-size-chartskeoni.jpg?rlkey=mgvyifzysdb8fx0fd2t8ou4oz&amp;dl=0","Click to download SizeChart")</f>
      </c>
      <c r="C176" s="0" t="inlineStr">
        <is>
          <t>Keoni Men's Button Up Shirt</t>
        </is>
      </c>
      <c r="D176" s="1">
        <v>154502</v>
      </c>
      <c r="E176" s="0" t="inlineStr">
        <is>
          <t>IOWA KEONI M BK:154502Z-12PK</t>
        </is>
      </c>
      <c r="F176" s="2">
        <v>800154502999</v>
      </c>
      <c r="G176" s="0" t="inlineStr">
        <is>
          <t>MENS</t>
        </is>
      </c>
      <c r="H176" s="0" t="inlineStr">
        <is>
          <t>12 PACK</t>
        </is>
      </c>
      <c r="I176" s="0">
        <v>534</v>
      </c>
      <c r="J176" s="0">
        <v>0</v>
      </c>
    </row>
    <row r="177" spans="1:10" customHeight="0">
      <c r="A177" s="0">
        <f>HYPERLINK("https://dl.dropboxusercontent.com/scl/fi/qcl8adbpyazpvta5vcscz/craft-154555-f.jpg?rlkey=75nbmt10x85so9bf9ulhlbbka&amp;dl=0","Click to download Image")</f>
      </c>
      <c r="B177" s="0">
        <f>HYPERLINK("https://dl.dropboxusercontent.com/scl/fi/s9lfpyzqysbxlogxi5vwo/womens-polo-size-chartscraft.jpg?rlkey=u9z1wjmqqu525cltv8mfeevvj&amp;dl=0","Click to download SizeChart")</f>
      </c>
      <c r="C177" s="0" t="inlineStr">
        <is>
          <t>Craft Women's Coolmax Polo</t>
        </is>
      </c>
      <c r="D177" s="1">
        <v>154555</v>
      </c>
      <c r="E177" s="0" t="inlineStr">
        <is>
          <t>IOWA CRAFT W WE:154555A-S</t>
        </is>
      </c>
      <c r="F177" s="2">
        <v>800154555049</v>
      </c>
      <c r="G177" s="0" t="inlineStr">
        <is>
          <t>WOMENS</t>
        </is>
      </c>
      <c r="H177" s="0" t="inlineStr">
        <is>
          <t>S</t>
        </is>
      </c>
      <c r="I177" s="0">
        <v>44.99</v>
      </c>
      <c r="J177" s="0">
        <v>6</v>
      </c>
    </row>
    <row r="178" spans="1:10" customHeight="0">
      <c r="A178" s="0">
        <f>HYPERLINK("https://dl.dropboxusercontent.com/scl/fi/qcl8adbpyazpvta5vcscz/craft-154555-f.jpg?rlkey=75nbmt10x85so9bf9ulhlbbka&amp;dl=0","Click to download Image")</f>
      </c>
      <c r="B178" s="0">
        <f>HYPERLINK("https://dl.dropboxusercontent.com/scl/fi/s9lfpyzqysbxlogxi5vwo/womens-polo-size-chartscraft.jpg?rlkey=u9z1wjmqqu525cltv8mfeevvj&amp;dl=0","Click to download SizeChart")</f>
      </c>
      <c r="C178" s="0" t="inlineStr">
        <is>
          <t>Craft Women's Coolmax Polo</t>
        </is>
      </c>
      <c r="D178" s="1">
        <v>154555</v>
      </c>
      <c r="E178" s="0" t="inlineStr">
        <is>
          <t>IOWA CRAFT W WE:154555B-M</t>
        </is>
      </c>
      <c r="F178" s="2">
        <v>800154555056</v>
      </c>
      <c r="G178" s="0" t="inlineStr">
        <is>
          <t>WOMENS</t>
        </is>
      </c>
      <c r="H178" s="0" t="inlineStr">
        <is>
          <t>M</t>
        </is>
      </c>
      <c r="I178" s="0">
        <v>44.99</v>
      </c>
      <c r="J178" s="0">
        <v>12</v>
      </c>
    </row>
    <row r="179" spans="1:10" customHeight="0">
      <c r="A179" s="0">
        <f>HYPERLINK("https://dl.dropboxusercontent.com/scl/fi/qcl8adbpyazpvta5vcscz/craft-154555-f.jpg?rlkey=75nbmt10x85so9bf9ulhlbbka&amp;dl=0","Click to download Image")</f>
      </c>
      <c r="B179" s="0">
        <f>HYPERLINK("https://dl.dropboxusercontent.com/scl/fi/s9lfpyzqysbxlogxi5vwo/womens-polo-size-chartscraft.jpg?rlkey=u9z1wjmqqu525cltv8mfeevvj&amp;dl=0","Click to download SizeChart")</f>
      </c>
      <c r="C179" s="0" t="inlineStr">
        <is>
          <t>Craft Women's Coolmax Polo</t>
        </is>
      </c>
      <c r="D179" s="1">
        <v>154555</v>
      </c>
      <c r="E179" s="0" t="inlineStr">
        <is>
          <t>IOWA CRAFT W WE:154555C-L</t>
        </is>
      </c>
      <c r="F179" s="2">
        <v>800154555063</v>
      </c>
      <c r="G179" s="0" t="inlineStr">
        <is>
          <t>WOMENS</t>
        </is>
      </c>
      <c r="H179" s="0" t="inlineStr">
        <is>
          <t>L</t>
        </is>
      </c>
      <c r="I179" s="0">
        <v>44.99</v>
      </c>
      <c r="J179" s="0">
        <v>12</v>
      </c>
    </row>
    <row r="180" spans="1:10" customHeight="0">
      <c r="A180" s="0">
        <f>HYPERLINK("https://dl.dropboxusercontent.com/scl/fi/qcl8adbpyazpvta5vcscz/craft-154555-f.jpg?rlkey=75nbmt10x85so9bf9ulhlbbka&amp;dl=0","Click to download Image")</f>
      </c>
      <c r="B180" s="0">
        <f>HYPERLINK("https://dl.dropboxusercontent.com/scl/fi/s9lfpyzqysbxlogxi5vwo/womens-polo-size-chartscraft.jpg?rlkey=u9z1wjmqqu525cltv8mfeevvj&amp;dl=0","Click to download SizeChart")</f>
      </c>
      <c r="C180" s="0" t="inlineStr">
        <is>
          <t>Craft Women's Coolmax Polo</t>
        </is>
      </c>
      <c r="D180" s="1">
        <v>154555</v>
      </c>
      <c r="E180" s="0" t="inlineStr">
        <is>
          <t>IOWA CRAFT W WE:154555D-XL</t>
        </is>
      </c>
      <c r="F180" s="2">
        <v>800154555070</v>
      </c>
      <c r="G180" s="0" t="inlineStr">
        <is>
          <t>WOMENS</t>
        </is>
      </c>
      <c r="H180" s="0" t="inlineStr">
        <is>
          <t>XL</t>
        </is>
      </c>
      <c r="I180" s="0">
        <v>44.99</v>
      </c>
      <c r="J180" s="0">
        <v>6</v>
      </c>
    </row>
    <row r="181" spans="1:10" customHeight="0">
      <c r="A181" s="0">
        <f>HYPERLINK("https://dl.dropboxusercontent.com/scl/fi/qcl8adbpyazpvta5vcscz/craft-154555-f.jpg?rlkey=75nbmt10x85so9bf9ulhlbbka&amp;dl=0","Click to download Image")</f>
      </c>
      <c r="B181" s="0">
        <f>HYPERLINK("https://dl.dropboxusercontent.com/scl/fi/s9lfpyzqysbxlogxi5vwo/womens-polo-size-chartscraft.jpg?rlkey=u9z1wjmqqu525cltv8mfeevvj&amp;dl=0","Click to download SizeChart")</f>
      </c>
      <c r="C181" s="0" t="inlineStr">
        <is>
          <t>Craft Women's Coolmax Polo</t>
        </is>
      </c>
      <c r="D181" s="1">
        <v>154555</v>
      </c>
      <c r="E181" s="0" t="inlineStr">
        <is>
          <t>IOWA CRAFT W WE:154555E-2XL</t>
        </is>
      </c>
      <c r="F181" s="2">
        <v>800154555087</v>
      </c>
      <c r="G181" s="0" t="inlineStr">
        <is>
          <t>WOMENS</t>
        </is>
      </c>
      <c r="H181" s="0" t="inlineStr">
        <is>
          <t>2XL</t>
        </is>
      </c>
      <c r="I181" s="0">
        <v>44.99</v>
      </c>
      <c r="J181" s="0">
        <v>0</v>
      </c>
    </row>
    <row r="182" spans="1:10" customHeight="0">
      <c r="A182" s="0">
        <f>HYPERLINK("https://dl.dropboxusercontent.com/scl/fi/qcl8adbpyazpvta5vcscz/craft-154555-f.jpg?rlkey=75nbmt10x85so9bf9ulhlbbka&amp;dl=0","Click to download Image")</f>
      </c>
      <c r="B182" s="0">
        <f>HYPERLINK("https://dl.dropboxusercontent.com/scl/fi/s9lfpyzqysbxlogxi5vwo/womens-polo-size-chartscraft.jpg?rlkey=u9z1wjmqqu525cltv8mfeevvj&amp;dl=0","Click to download SizeChart")</f>
      </c>
      <c r="C182" s="0" t="inlineStr">
        <is>
          <t>Craft Women's Coolmax Polo</t>
        </is>
      </c>
      <c r="D182" s="1">
        <v>154555</v>
      </c>
      <c r="E182" s="0" t="inlineStr">
        <is>
          <t>IOWA CRAFT W WE:154555F-3XL</t>
        </is>
      </c>
      <c r="F182" s="2">
        <v>800154555094</v>
      </c>
      <c r="G182" s="0" t="inlineStr">
        <is>
          <t>WOMENS</t>
        </is>
      </c>
      <c r="H182" s="0" t="inlineStr">
        <is>
          <t>3XL</t>
        </is>
      </c>
      <c r="I182" s="0">
        <v>44.99</v>
      </c>
      <c r="J182" s="0">
        <v>0</v>
      </c>
    </row>
    <row r="183" spans="1:10" customHeight="0">
      <c r="A183" s="0">
        <f>HYPERLINK("https://dl.dropboxusercontent.com/scl/fi/qcl8adbpyazpvta5vcscz/craft-154555-f.jpg?rlkey=75nbmt10x85so9bf9ulhlbbka&amp;dl=0","Click to download Image")</f>
      </c>
      <c r="B183" s="0">
        <f>HYPERLINK("https://dl.dropboxusercontent.com/scl/fi/s9lfpyzqysbxlogxi5vwo/womens-polo-size-chartscraft.jpg?rlkey=u9z1wjmqqu525cltv8mfeevvj&amp;dl=0","Click to download SizeChart")</f>
      </c>
      <c r="C183" s="0" t="inlineStr">
        <is>
          <t>Craft Women's Coolmax Polo</t>
        </is>
      </c>
      <c r="D183" s="1">
        <v>154555</v>
      </c>
      <c r="E183" s="0" t="inlineStr">
        <is>
          <t>IOWA CRAFT W WE:154555Z-12PK</t>
        </is>
      </c>
      <c r="F183" s="2">
        <v>800154555995</v>
      </c>
      <c r="G183" s="0" t="inlineStr">
        <is>
          <t>WOMENS</t>
        </is>
      </c>
      <c r="H183" s="0" t="inlineStr">
        <is>
          <t>12 PACK</t>
        </is>
      </c>
      <c r="I183" s="0">
        <v>432</v>
      </c>
      <c r="J183" s="0">
        <v>0</v>
      </c>
    </row>
    <row r="184" spans="1:10" customHeight="0">
      <c r="A184" s="0">
        <f>HYPERLINK("https://dl.dropboxusercontent.com/scl/fi/tnqe28y5puzwn4pva8sl2/gideon-132707-tn.jpg?rlkey=8mwsf5ymprtx2pcg198k0st8i&amp;dl=0","Click to download Image")</f>
      </c>
      <c r="B184" s="0">
        <f>HYPERLINK("https://dl.dropboxusercontent.com/scl/fi/ixziphaesoagcc2602w5x/graphic-update2022-infant.jpg?rlkey=08dv1rsecwu4hz38uhoh5sd29&amp;dl=0","Click to download SizeChart")</f>
      </c>
      <c r="C184" s="0" t="inlineStr">
        <is>
          <t>Gideon Infant Tank Top And Shorts</t>
        </is>
      </c>
      <c r="D184" s="0" t="inlineStr">
        <is>
          <t>13270I</t>
        </is>
      </c>
      <c r="E184" s="0" t="inlineStr">
        <is>
          <t>IOWA GIDEON I BK:I13270A-0-3M</t>
        </is>
      </c>
      <c r="F184" s="2">
        <v>800132707002</v>
      </c>
      <c r="G184" s="0" t="inlineStr">
        <is>
          <t>INFANT</t>
        </is>
      </c>
      <c r="H184" s="0" t="inlineStr">
        <is>
          <t>0-3M</t>
        </is>
      </c>
      <c r="I184" s="0">
        <v>34.99</v>
      </c>
      <c r="J184" s="0">
        <v>9</v>
      </c>
    </row>
    <row r="185" spans="1:10" customHeight="0">
      <c r="A185" s="0">
        <f>HYPERLINK("https://dl.dropboxusercontent.com/scl/fi/tnqe28y5puzwn4pva8sl2/gideon-132707-tn.jpg?rlkey=8mwsf5ymprtx2pcg198k0st8i&amp;dl=0","Click to download Image")</f>
      </c>
      <c r="B185" s="0">
        <f>HYPERLINK("https://dl.dropboxusercontent.com/scl/fi/ixziphaesoagcc2602w5x/graphic-update2022-infant.jpg?rlkey=08dv1rsecwu4hz38uhoh5sd29&amp;dl=0","Click to download SizeChart")</f>
      </c>
      <c r="C185" s="0" t="inlineStr">
        <is>
          <t>Gideon Infant Tank Top And Shorts</t>
        </is>
      </c>
      <c r="D185" s="0" t="inlineStr">
        <is>
          <t>13270I</t>
        </is>
      </c>
      <c r="E185" s="0" t="inlineStr">
        <is>
          <t>IOWA GIDEON I BK:I13270B-3-6M</t>
        </is>
      </c>
      <c r="F185" s="2">
        <v>800132707019</v>
      </c>
      <c r="G185" s="0" t="inlineStr">
        <is>
          <t>INFANT</t>
        </is>
      </c>
      <c r="H185" s="0" t="inlineStr">
        <is>
          <t>3-6M</t>
        </is>
      </c>
      <c r="I185" s="0">
        <v>34.99</v>
      </c>
      <c r="J185" s="0">
        <v>9</v>
      </c>
    </row>
    <row r="186" spans="1:10" customHeight="0">
      <c r="A186" s="0">
        <f>HYPERLINK("https://dl.dropboxusercontent.com/scl/fi/tnqe28y5puzwn4pva8sl2/gideon-132707-tn.jpg?rlkey=8mwsf5ymprtx2pcg198k0st8i&amp;dl=0","Click to download Image")</f>
      </c>
      <c r="B186" s="0">
        <f>HYPERLINK("https://dl.dropboxusercontent.com/scl/fi/ixziphaesoagcc2602w5x/graphic-update2022-infant.jpg?rlkey=08dv1rsecwu4hz38uhoh5sd29&amp;dl=0","Click to download SizeChart")</f>
      </c>
      <c r="C186" s="0" t="inlineStr">
        <is>
          <t>Gideon Infant Tank Top And Shorts</t>
        </is>
      </c>
      <c r="D186" s="0" t="inlineStr">
        <is>
          <t>13270I</t>
        </is>
      </c>
      <c r="E186" s="0" t="inlineStr">
        <is>
          <t>IOWA GIDEON I BK:I13270C-6-9M</t>
        </is>
      </c>
      <c r="F186" s="2">
        <v>800132707026</v>
      </c>
      <c r="G186" s="0" t="inlineStr">
        <is>
          <t>INFANT</t>
        </is>
      </c>
      <c r="H186" s="0" t="inlineStr">
        <is>
          <t>6-9M</t>
        </is>
      </c>
      <c r="I186" s="0">
        <v>34.99</v>
      </c>
      <c r="J186" s="0">
        <v>7</v>
      </c>
    </row>
    <row r="187" spans="1:10" customHeight="0">
      <c r="A187" s="0">
        <f>HYPERLINK("https://dl.dropboxusercontent.com/scl/fi/tnqe28y5puzwn4pva8sl2/gideon-132707-tn.jpg?rlkey=8mwsf5ymprtx2pcg198k0st8i&amp;dl=0","Click to download Image")</f>
      </c>
      <c r="B187" s="0">
        <f>HYPERLINK("https://dl.dropboxusercontent.com/scl/fi/ixziphaesoagcc2602w5x/graphic-update2022-infant.jpg?rlkey=08dv1rsecwu4hz38uhoh5sd29&amp;dl=0","Click to download SizeChart")</f>
      </c>
      <c r="C187" s="0" t="inlineStr">
        <is>
          <t>Gideon Infant Tank Top And Shorts</t>
        </is>
      </c>
      <c r="D187" s="0" t="inlineStr">
        <is>
          <t>13270I</t>
        </is>
      </c>
      <c r="E187" s="0" t="inlineStr">
        <is>
          <t>IOWA GIDEON I BK:I13270F-12M</t>
        </is>
      </c>
      <c r="F187" s="2">
        <v>800132707033</v>
      </c>
      <c r="G187" s="0" t="inlineStr">
        <is>
          <t>INFANT</t>
        </is>
      </c>
      <c r="H187" s="0" t="inlineStr">
        <is>
          <t>12M</t>
        </is>
      </c>
      <c r="I187" s="0">
        <v>34.99</v>
      </c>
      <c r="J187" s="0">
        <v>12</v>
      </c>
    </row>
    <row r="188" spans="1:10" customHeight="0">
      <c r="A188" s="0">
        <f>HYPERLINK("https://dl.dropboxusercontent.com/scl/fi/tnqe28y5puzwn4pva8sl2/gideon-132707-tn.jpg?rlkey=8mwsf5ymprtx2pcg198k0st8i&amp;dl=0","Click to download Image")</f>
      </c>
      <c r="B188" s="0">
        <f>HYPERLINK("https://dl.dropboxusercontent.com/scl/fi/ixziphaesoagcc2602w5x/graphic-update2022-infant.jpg?rlkey=08dv1rsecwu4hz38uhoh5sd29&amp;dl=0","Click to download SizeChart")</f>
      </c>
      <c r="C188" s="0" t="inlineStr">
        <is>
          <t>Gideon Infant Tank Top And Shorts</t>
        </is>
      </c>
      <c r="D188" s="0" t="inlineStr">
        <is>
          <t>13270I</t>
        </is>
      </c>
      <c r="E188" s="0" t="inlineStr">
        <is>
          <t>IOWA GIDEON I BK 12PK:I13270Z-12PK</t>
        </is>
      </c>
      <c r="F188" s="2">
        <v>800132707972</v>
      </c>
      <c r="G188" s="0" t="inlineStr">
        <is>
          <t>INFANT</t>
        </is>
      </c>
      <c r="H188" s="0" t="inlineStr">
        <is>
          <t>12 PACK</t>
        </is>
      </c>
      <c r="I188" s="0">
        <v>336</v>
      </c>
      <c r="J188" s="0">
        <v>0</v>
      </c>
    </row>
    <row r="189" spans="1:10" customHeight="0">
      <c r="A189" s="0">
        <f>HYPERLINK("https://dl.dropboxusercontent.com/scl/fi/e3svpnkanmv33v1tymr70/fargo-156498-tn.jpg?rlkey=70gewu5k1yw1c45x20uxww3n1&amp;dl=0","Click to download Image")</f>
      </c>
      <c r="C189" s="0" t="inlineStr">
        <is>
          <t>Fargo Men's Beanie</t>
        </is>
      </c>
      <c r="D189" s="1">
        <v>156498</v>
      </c>
      <c r="E189" s="0" t="inlineStr">
        <is>
          <t>IOWA FARGO A BK:156498</t>
        </is>
      </c>
      <c r="F189" s="2">
        <v>700156498019</v>
      </c>
      <c r="G189" s="0" t="inlineStr">
        <is>
          <t>MENS</t>
        </is>
      </c>
      <c r="H189" s="0" t="inlineStr">
        <is>
          <t>STANDARD MENS</t>
        </is>
      </c>
      <c r="I189" s="0">
        <v>24.99</v>
      </c>
      <c r="J189" s="0">
        <v>9</v>
      </c>
    </row>
    <row r="190" spans="1:10" customHeight="0">
      <c r="A190" s="0">
        <f>HYPERLINK("https://dl.dropboxusercontent.com/scl/fi/k8gcn40u0vta08imz1azd/lena-150878-tn.jpg?rlkey=ktephih46d1ryhiouzixojcwm&amp;dl=0","Click to download Image")</f>
      </c>
      <c r="C190" s="0" t="inlineStr">
        <is>
          <t>Lena Women's Cap</t>
        </is>
      </c>
      <c r="D190" s="1">
        <v>150878</v>
      </c>
      <c r="E190" s="0" t="inlineStr">
        <is>
          <t>IOWA LENA A BK:150878</t>
        </is>
      </c>
      <c r="F190" s="2">
        <v>700150878008</v>
      </c>
      <c r="G190" s="0" t="inlineStr">
        <is>
          <t>WOMENS</t>
        </is>
      </c>
      <c r="H190" s="0" t="inlineStr">
        <is>
          <t>WOMENS</t>
        </is>
      </c>
      <c r="I190" s="0">
        <v>29.99</v>
      </c>
      <c r="J190" s="0">
        <v>59</v>
      </c>
    </row>
    <row r="191" spans="1:10" customHeight="0">
      <c r="A191" s="0">
        <f>HYPERLINK("https://dl.dropboxusercontent.com/scl/fi/8pdqwvehl5yv42ooq90kd/auburn-151547-tn.jpg?rlkey=3e3bzk7dgmtc4004j5pop5i5p&amp;dl=0","Click to download Image")</f>
      </c>
      <c r="C191" s="0" t="inlineStr">
        <is>
          <t>Auburn Women's Cap</t>
        </is>
      </c>
      <c r="D191" s="1">
        <v>151547</v>
      </c>
      <c r="E191" s="0" t="inlineStr">
        <is>
          <t>IOWA AUBURN A BK:151547</t>
        </is>
      </c>
      <c r="F191" s="2">
        <v>700151547019</v>
      </c>
      <c r="G191" s="0" t="inlineStr">
        <is>
          <t>WOMENS</t>
        </is>
      </c>
      <c r="H191" s="0" t="inlineStr">
        <is>
          <t>WOMENS</t>
        </is>
      </c>
      <c r="I191" s="0">
        <v>29.99</v>
      </c>
      <c r="J191" s="0">
        <v>23</v>
      </c>
    </row>
    <row r="192" spans="1:10" customHeight="0">
      <c r="A192" s="0">
        <f>HYPERLINK("https://dl.dropboxusercontent.com/scl/fi/nq4q1ibmep1dxfuu3px46/celina-161081-tn.jpg?rlkey=sz6hn454rc0dyqo3vqljqv9zg&amp;dl=0","Click to download Image")</f>
      </c>
      <c r="C192" s="0" t="inlineStr">
        <is>
          <t>Celina Women's Beanie</t>
        </is>
      </c>
      <c r="D192" s="1">
        <v>161081</v>
      </c>
      <c r="E192" s="0" t="inlineStr">
        <is>
          <t>IOWA CELINA A OG:161081</t>
        </is>
      </c>
      <c r="F192" s="2">
        <v>700161081015</v>
      </c>
      <c r="G192" s="0" t="inlineStr">
        <is>
          <t>WOMENS</t>
        </is>
      </c>
      <c r="H192" s="0" t="inlineStr">
        <is>
          <t>ADULT</t>
        </is>
      </c>
      <c r="I192" s="0">
        <v>29.99</v>
      </c>
      <c r="J192" s="0">
        <v>63</v>
      </c>
    </row>
    <row r="193" spans="1:10" customHeight="0">
      <c r="A193" s="0">
        <f>HYPERLINK("https://dl.dropboxusercontent.com/scl/fi/susr5tg0k014c19dq8m7v/blaine-144425-tn.jpg?rlkey=1cy24li3t4xoctztt1y4pbirn&amp;dl=0","Click to download Image")</f>
      </c>
      <c r="C193" s="0" t="inlineStr">
        <is>
          <t>Blaine Infant Cap</t>
        </is>
      </c>
      <c r="D193" s="1">
        <v>144425</v>
      </c>
      <c r="E193" s="0" t="inlineStr">
        <is>
          <t>IOWA BLAINE I BK:144425</t>
        </is>
      </c>
      <c r="F193" s="2">
        <v>700144425058</v>
      </c>
      <c r="G193" s="0" t="inlineStr">
        <is>
          <t>INFANT</t>
        </is>
      </c>
      <c r="H193" s="0" t="inlineStr">
        <is>
          <t>INFANT</t>
        </is>
      </c>
      <c r="I193" s="0">
        <v>24.99</v>
      </c>
      <c r="J193" s="0">
        <v>53</v>
      </c>
    </row>
    <row r="194" spans="1:10" customHeight="0">
      <c r="A194" s="0">
        <f>HYPERLINK("https://dl.dropboxusercontent.com/scl/fi/rcefc8zy53aaou67lsnga/ruck-151336-tn.jpg?rlkey=37ylbjm6vc64ddvfcwstati9i&amp;dl=0","Click to download Image")</f>
      </c>
      <c r="C194" s="0" t="inlineStr">
        <is>
          <t>Ruck Infant Beanie</t>
        </is>
      </c>
      <c r="D194" s="1">
        <v>151336</v>
      </c>
      <c r="E194" s="0" t="inlineStr">
        <is>
          <t>IOWA RUCK I BK:151336</t>
        </is>
      </c>
      <c r="F194" s="2">
        <v>700151336019</v>
      </c>
      <c r="G194" s="0" t="inlineStr">
        <is>
          <t>INFANT</t>
        </is>
      </c>
      <c r="H194" s="0" t="inlineStr">
        <is>
          <t>INFANT</t>
        </is>
      </c>
      <c r="I194" s="0">
        <v>24.99</v>
      </c>
      <c r="J194" s="0">
        <v>46</v>
      </c>
    </row>
    <row r="195" spans="1:10" customHeight="0">
      <c r="A195" s="0">
        <f>HYPERLINK("https://dl.dropboxusercontent.com/scl/fi/j6dc14ky3yw2ccahloqyl/mock-160031-ia-stellan-cr-v1-03.jpg?rlkey=ltbcks8rjmzmsdtf9c9v533nx&amp;dl=0","Click to download Image")</f>
      </c>
      <c r="C195" s="0" t="inlineStr">
        <is>
          <t>Stellan Crossbody</t>
        </is>
      </c>
      <c r="D195" s="1">
        <v>160031</v>
      </c>
      <c r="E195" s="0" t="inlineStr">
        <is>
          <t>IOWA STELLA CR:160031</t>
        </is>
      </c>
      <c r="F195" s="2">
        <v>900160031015</v>
      </c>
      <c r="I195" s="0">
        <v>29.99</v>
      </c>
      <c r="J195" s="0">
        <v>55</v>
      </c>
    </row>
    <row r="196" spans="1:10" customHeight="0">
      <c r="A196" s="0">
        <f>HYPERLINK("https://dl.dropboxusercontent.com/scl/fi/3ozydeyowdqdnep6bjvkn/124909f37214.1624570469.1280.1280.jpg?rlkey=uxq46nbnbelgod47jh0uep31y&amp;dl=0","Click to download Image")</f>
      </c>
      <c r="C196" s="0" t="inlineStr">
        <is>
          <t>Lou Women's Tank Top</t>
        </is>
      </c>
      <c r="D196" s="1">
        <v>124909</v>
      </c>
      <c r="E196" s="0" t="inlineStr">
        <is>
          <t>IOWA LOU W RE:124909A-S</t>
        </is>
      </c>
      <c r="F196" s="2">
        <v>800124909049</v>
      </c>
      <c r="G196" s="0" t="inlineStr">
        <is>
          <t>WOMENS</t>
        </is>
      </c>
      <c r="H196" s="0" t="inlineStr">
        <is>
          <t>S</t>
        </is>
      </c>
      <c r="I196" s="0">
        <v>29.99</v>
      </c>
      <c r="J196" s="0">
        <v>4</v>
      </c>
    </row>
    <row r="197" spans="1:10" customHeight="0">
      <c r="A197" s="0">
        <f>HYPERLINK("https://dl.dropboxusercontent.com/scl/fi/3ozydeyowdqdnep6bjvkn/124909f37214.1624570469.1280.1280.jpg?rlkey=uxq46nbnbelgod47jh0uep31y&amp;dl=0","Click to download Image")</f>
      </c>
      <c r="C197" s="0" t="inlineStr">
        <is>
          <t>Lou Women's Tank Top</t>
        </is>
      </c>
      <c r="D197" s="1">
        <v>124909</v>
      </c>
      <c r="E197" s="0" t="inlineStr">
        <is>
          <t>IOWA LOU W RE:124909B-M</t>
        </is>
      </c>
      <c r="F197" s="2">
        <v>800124909056</v>
      </c>
      <c r="G197" s="0" t="inlineStr">
        <is>
          <t>WOMENS</t>
        </is>
      </c>
      <c r="H197" s="0" t="inlineStr">
        <is>
          <t>M</t>
        </is>
      </c>
      <c r="I197" s="0">
        <v>29.99</v>
      </c>
      <c r="J197" s="0">
        <v>16</v>
      </c>
    </row>
    <row r="198" spans="1:10" customHeight="0">
      <c r="A198" s="0">
        <f>HYPERLINK("https://dl.dropboxusercontent.com/scl/fi/3ozydeyowdqdnep6bjvkn/124909f37214.1624570469.1280.1280.jpg?rlkey=uxq46nbnbelgod47jh0uep31y&amp;dl=0","Click to download Image")</f>
      </c>
      <c r="C198" s="0" t="inlineStr">
        <is>
          <t>Lou Women's Tank Top</t>
        </is>
      </c>
      <c r="D198" s="1">
        <v>124909</v>
      </c>
      <c r="E198" s="0" t="inlineStr">
        <is>
          <t>IOWA LOU W RE:124909C-L</t>
        </is>
      </c>
      <c r="F198" s="2">
        <v>800124909063</v>
      </c>
      <c r="G198" s="0" t="inlineStr">
        <is>
          <t>WOMENS</t>
        </is>
      </c>
      <c r="H198" s="0" t="inlineStr">
        <is>
          <t>L</t>
        </is>
      </c>
      <c r="I198" s="0">
        <v>29.99</v>
      </c>
      <c r="J198" s="0">
        <v>15</v>
      </c>
    </row>
    <row r="199" spans="1:10" customHeight="0">
      <c r="A199" s="0">
        <f>HYPERLINK("https://dl.dropboxusercontent.com/scl/fi/3ozydeyowdqdnep6bjvkn/124909f37214.1624570469.1280.1280.jpg?rlkey=uxq46nbnbelgod47jh0uep31y&amp;dl=0","Click to download Image")</f>
      </c>
      <c r="C199" s="0" t="inlineStr">
        <is>
          <t>Lou Women's Tank Top</t>
        </is>
      </c>
      <c r="D199" s="1">
        <v>124909</v>
      </c>
      <c r="E199" s="0" t="inlineStr">
        <is>
          <t>IOWA LOU W RE:124909D-XL</t>
        </is>
      </c>
      <c r="F199" s="2">
        <v>800124909070</v>
      </c>
      <c r="G199" s="0" t="inlineStr">
        <is>
          <t>WOMENS</t>
        </is>
      </c>
      <c r="H199" s="0" t="inlineStr">
        <is>
          <t>XL</t>
        </is>
      </c>
      <c r="I199" s="0">
        <v>29.99</v>
      </c>
      <c r="J199" s="0">
        <v>4</v>
      </c>
    </row>
    <row r="200" spans="1:10" customHeight="0">
      <c r="A200" s="0">
        <f>HYPERLINK("https://dl.dropboxusercontent.com/scl/fi/3ozydeyowdqdnep6bjvkn/124909f37214.1624570469.1280.1280.jpg?rlkey=uxq46nbnbelgod47jh0uep31y&amp;dl=0","Click to download Image")</f>
      </c>
      <c r="C200" s="0" t="inlineStr">
        <is>
          <t>Lou Women's Tank Top</t>
        </is>
      </c>
      <c r="D200" s="1">
        <v>124909</v>
      </c>
      <c r="E200" s="0" t="inlineStr">
        <is>
          <t>IOWA LOU W RE:124909E-2XL</t>
        </is>
      </c>
      <c r="F200" s="2">
        <v>800124909087</v>
      </c>
      <c r="G200" s="0" t="inlineStr">
        <is>
          <t>WOMENS</t>
        </is>
      </c>
      <c r="H200" s="0" t="inlineStr">
        <is>
          <t>2XL</t>
        </is>
      </c>
      <c r="I200" s="0">
        <v>29.99</v>
      </c>
      <c r="J200" s="0">
        <v>0</v>
      </c>
    </row>
    <row r="201" spans="1:10" customHeight="0">
      <c r="A201" s="0">
        <f>HYPERLINK("https://dl.dropboxusercontent.com/scl/fi/3ozydeyowdqdnep6bjvkn/124909f37214.1624570469.1280.1280.jpg?rlkey=uxq46nbnbelgod47jh0uep31y&amp;dl=0","Click to download Image")</f>
      </c>
      <c r="C201" s="0" t="inlineStr">
        <is>
          <t>Lou Women's Tank Top</t>
        </is>
      </c>
      <c r="D201" s="1">
        <v>124909</v>
      </c>
      <c r="E201" s="0" t="inlineStr">
        <is>
          <t>IOWA LOU W RE:124909F-3XL</t>
        </is>
      </c>
      <c r="F201" s="2">
        <v>800124909094</v>
      </c>
      <c r="G201" s="0" t="inlineStr">
        <is>
          <t>WOMENS</t>
        </is>
      </c>
      <c r="H201" s="0" t="inlineStr">
        <is>
          <t>3XL</t>
        </is>
      </c>
      <c r="I201" s="0">
        <v>29.99</v>
      </c>
      <c r="J201" s="0">
        <v>0</v>
      </c>
    </row>
    <row r="202" spans="1:10" customHeight="0">
      <c r="A202" s="0">
        <f>HYPERLINK("https://dl.dropboxusercontent.com/scl/fi/3ozydeyowdqdnep6bjvkn/124909f37214.1624570469.1280.1280.jpg?rlkey=uxq46nbnbelgod47jh0uep31y&amp;dl=0","Click to download Image")</f>
      </c>
      <c r="C202" s="0" t="inlineStr">
        <is>
          <t>Lou Women's Tank Top</t>
        </is>
      </c>
      <c r="D202" s="1">
        <v>124909</v>
      </c>
      <c r="E202" s="0" t="inlineStr">
        <is>
          <t>IOWA LOU W RE 12PK:124909Z-12PK</t>
        </is>
      </c>
      <c r="F202" s="2">
        <v>800124909995</v>
      </c>
      <c r="G202" s="0" t="inlineStr">
        <is>
          <t>WOMENS</t>
        </is>
      </c>
      <c r="H202" s="0" t="inlineStr">
        <is>
          <t>12 PACK</t>
        </is>
      </c>
      <c r="I202" s="0">
        <v>288</v>
      </c>
      <c r="J202" s="0">
        <v>0</v>
      </c>
    </row>
    <row r="203" spans="1:10" customHeight="0">
      <c r="A203" s="0">
        <f>HYPERLINK("https://dl.dropboxusercontent.com/scl/fi/8z2f2qrrhyyrcfziv6ezp/116451-af.jpg?rlkey=yk1yxoxt7gyk2zhhx1if86vcz&amp;dl=0","Click to download Image")</f>
      </c>
      <c r="B203" s="0">
        <f>HYPERLINK("https://dl.dropboxusercontent.com/scl/fi/y5ktpm2ojkabm7qi8cvih/mens-jackets-size-chartsrigby.jpg?rlkey=iawnvj58x1ksk92xjmxwvlfmg&amp;dl=0","Click to download SizeChart")</f>
      </c>
      <c r="C203" s="0" t="inlineStr">
        <is>
          <t>Rigby Men's Windbreaker</t>
        </is>
      </c>
      <c r="D203" s="1">
        <v>116451</v>
      </c>
      <c r="E203" s="0" t="inlineStr">
        <is>
          <t>IOWA RIGBY M BLACK:116451A-S</t>
        </is>
      </c>
      <c r="F203" s="2">
        <v>800116451044</v>
      </c>
      <c r="G203" s="0" t="inlineStr">
        <is>
          <t>MENS</t>
        </is>
      </c>
      <c r="H203" s="0" t="inlineStr">
        <is>
          <t>S</t>
        </is>
      </c>
      <c r="I203" s="0">
        <v>59.99</v>
      </c>
      <c r="J203" s="0">
        <v>0</v>
      </c>
    </row>
    <row r="204" spans="1:10" customHeight="0">
      <c r="A204" s="0">
        <f>HYPERLINK("https://dl.dropboxusercontent.com/scl/fi/8z2f2qrrhyyrcfziv6ezp/116451-af.jpg?rlkey=yk1yxoxt7gyk2zhhx1if86vcz&amp;dl=0","Click to download Image")</f>
      </c>
      <c r="B204" s="0">
        <f>HYPERLINK("https://dl.dropboxusercontent.com/scl/fi/y5ktpm2ojkabm7qi8cvih/mens-jackets-size-chartsrigby.jpg?rlkey=iawnvj58x1ksk92xjmxwvlfmg&amp;dl=0","Click to download SizeChart")</f>
      </c>
      <c r="C204" s="0" t="inlineStr">
        <is>
          <t>Rigby Men's Windbreaker</t>
        </is>
      </c>
      <c r="D204" s="1">
        <v>116451</v>
      </c>
      <c r="E204" s="0" t="inlineStr">
        <is>
          <t>IOWA RIGBY M BLACK:116451B-M</t>
        </is>
      </c>
      <c r="F204" s="2">
        <v>800116451051</v>
      </c>
      <c r="G204" s="0" t="inlineStr">
        <is>
          <t>MENS</t>
        </is>
      </c>
      <c r="H204" s="0" t="inlineStr">
        <is>
          <t>M</t>
        </is>
      </c>
      <c r="I204" s="0">
        <v>59.99</v>
      </c>
      <c r="J204" s="0">
        <v>0</v>
      </c>
    </row>
    <row r="205" spans="1:10" customHeight="0">
      <c r="A205" s="0">
        <f>HYPERLINK("https://dl.dropboxusercontent.com/scl/fi/8z2f2qrrhyyrcfziv6ezp/116451-af.jpg?rlkey=yk1yxoxt7gyk2zhhx1if86vcz&amp;dl=0","Click to download Image")</f>
      </c>
      <c r="B205" s="0">
        <f>HYPERLINK("https://dl.dropboxusercontent.com/scl/fi/y5ktpm2ojkabm7qi8cvih/mens-jackets-size-chartsrigby.jpg?rlkey=iawnvj58x1ksk92xjmxwvlfmg&amp;dl=0","Click to download SizeChart")</f>
      </c>
      <c r="C205" s="0" t="inlineStr">
        <is>
          <t>Rigby Men's Windbreaker</t>
        </is>
      </c>
      <c r="D205" s="1">
        <v>116451</v>
      </c>
      <c r="E205" s="0" t="inlineStr">
        <is>
          <t>IOWA RIGBY M BLACK:116451C-L</t>
        </is>
      </c>
      <c r="F205" s="2">
        <v>800116451068</v>
      </c>
      <c r="G205" s="0" t="inlineStr">
        <is>
          <t>MENS</t>
        </is>
      </c>
      <c r="H205" s="0" t="inlineStr">
        <is>
          <t>L</t>
        </is>
      </c>
      <c r="I205" s="0">
        <v>59.99</v>
      </c>
      <c r="J205" s="0">
        <v>0</v>
      </c>
    </row>
    <row r="206" spans="1:10" customHeight="0">
      <c r="A206" s="0">
        <f>HYPERLINK("https://dl.dropboxusercontent.com/scl/fi/8z2f2qrrhyyrcfziv6ezp/116451-af.jpg?rlkey=yk1yxoxt7gyk2zhhx1if86vcz&amp;dl=0","Click to download Image")</f>
      </c>
      <c r="B206" s="0">
        <f>HYPERLINK("https://dl.dropboxusercontent.com/scl/fi/y5ktpm2ojkabm7qi8cvih/mens-jackets-size-chartsrigby.jpg?rlkey=iawnvj58x1ksk92xjmxwvlfmg&amp;dl=0","Click to download SizeChart")</f>
      </c>
      <c r="C206" s="0" t="inlineStr">
        <is>
          <t>Rigby Men's Windbreaker</t>
        </is>
      </c>
      <c r="D206" s="1">
        <v>116451</v>
      </c>
      <c r="E206" s="0" t="inlineStr">
        <is>
          <t>IOWA RIGBY M BLACK:116451D-XL</t>
        </is>
      </c>
      <c r="F206" s="2">
        <v>800116451075</v>
      </c>
      <c r="G206" s="0" t="inlineStr">
        <is>
          <t>MENS</t>
        </is>
      </c>
      <c r="H206" s="0" t="inlineStr">
        <is>
          <t>XL</t>
        </is>
      </c>
      <c r="I206" s="0">
        <v>59.99</v>
      </c>
      <c r="J206" s="0">
        <v>0</v>
      </c>
    </row>
    <row r="207" spans="1:10" customHeight="0">
      <c r="A207" s="0">
        <f>HYPERLINK("https://dl.dropboxusercontent.com/scl/fi/8z2f2qrrhyyrcfziv6ezp/116451-af.jpg?rlkey=yk1yxoxt7gyk2zhhx1if86vcz&amp;dl=0","Click to download Image")</f>
      </c>
      <c r="B207" s="0">
        <f>HYPERLINK("https://dl.dropboxusercontent.com/scl/fi/y5ktpm2ojkabm7qi8cvih/mens-jackets-size-chartsrigby.jpg?rlkey=iawnvj58x1ksk92xjmxwvlfmg&amp;dl=0","Click to download SizeChart")</f>
      </c>
      <c r="C207" s="0" t="inlineStr">
        <is>
          <t>Rigby Men's Windbreaker</t>
        </is>
      </c>
      <c r="D207" s="1">
        <v>116451</v>
      </c>
      <c r="E207" s="0" t="inlineStr">
        <is>
          <t>IOWA RIGBY M BLACK:116451E-2XL</t>
        </is>
      </c>
      <c r="F207" s="2">
        <v>800116451082</v>
      </c>
      <c r="G207" s="0" t="inlineStr">
        <is>
          <t>MENS</t>
        </is>
      </c>
      <c r="H207" s="0" t="inlineStr">
        <is>
          <t>2XL</t>
        </is>
      </c>
      <c r="I207" s="0">
        <v>59.99</v>
      </c>
      <c r="J207" s="0">
        <v>1</v>
      </c>
    </row>
    <row r="208" spans="1:10" customHeight="0">
      <c r="A208" s="0">
        <f>HYPERLINK("https://dl.dropboxusercontent.com/scl/fi/8z2f2qrrhyyrcfziv6ezp/116451-af.jpg?rlkey=yk1yxoxt7gyk2zhhx1if86vcz&amp;dl=0","Click to download Image")</f>
      </c>
      <c r="B208" s="0">
        <f>HYPERLINK("https://dl.dropboxusercontent.com/scl/fi/y5ktpm2ojkabm7qi8cvih/mens-jackets-size-chartsrigby.jpg?rlkey=iawnvj58x1ksk92xjmxwvlfmg&amp;dl=0","Click to download SizeChart")</f>
      </c>
      <c r="C208" s="0" t="inlineStr">
        <is>
          <t>Rigby Men's Windbreaker</t>
        </is>
      </c>
      <c r="D208" s="1">
        <v>116451</v>
      </c>
      <c r="E208" s="0" t="inlineStr">
        <is>
          <t>IOWA RIGBY M BLACK:116451F-3XL</t>
        </is>
      </c>
      <c r="F208" s="2">
        <v>800116451099</v>
      </c>
      <c r="G208" s="0" t="inlineStr">
        <is>
          <t>MENS</t>
        </is>
      </c>
      <c r="H208" s="0" t="inlineStr">
        <is>
          <t>3XL</t>
        </is>
      </c>
      <c r="I208" s="0">
        <v>59.99</v>
      </c>
      <c r="J208" s="0">
        <v>4</v>
      </c>
    </row>
    <row r="209" spans="1:10" customHeight="0">
      <c r="A209" s="0">
        <f>HYPERLINK("https://dl.dropboxusercontent.com/scl/fi/8z2f2qrrhyyrcfziv6ezp/116451-af.jpg?rlkey=yk1yxoxt7gyk2zhhx1if86vcz&amp;dl=0","Click to download Image")</f>
      </c>
      <c r="B209" s="0">
        <f>HYPERLINK("https://dl.dropboxusercontent.com/scl/fi/y5ktpm2ojkabm7qi8cvih/mens-jackets-size-chartsrigby.jpg?rlkey=iawnvj58x1ksk92xjmxwvlfmg&amp;dl=0","Click to download SizeChart")</f>
      </c>
      <c r="C209" s="0" t="inlineStr">
        <is>
          <t>Rigby Men's Windbreaker</t>
        </is>
      </c>
      <c r="D209" s="1">
        <v>116451</v>
      </c>
      <c r="E209" s="0" t="inlineStr">
        <is>
          <t>IOWA RIGBY M BLACK 12 PACK:116451Z-12PK</t>
        </is>
      </c>
      <c r="F209" s="2">
        <v>800116451990</v>
      </c>
      <c r="G209" s="0" t="inlineStr">
        <is>
          <t>MENS</t>
        </is>
      </c>
      <c r="H209" s="0" t="inlineStr">
        <is>
          <t>12 PACK</t>
        </is>
      </c>
      <c r="I209" s="0">
        <v>582</v>
      </c>
      <c r="J209" s="0">
        <v>0</v>
      </c>
    </row>
    <row r="210" spans="1:10" customHeight="0">
      <c r="A210" s="0">
        <f>HYPERLINK("https://dl.dropboxusercontent.com/scl/fi/oo30rwt5iomxmkxkw2ki0/115081-af.jpg?rlkey=ggraa5aq37epvhrsej8rds0qb&amp;dl=0","Click to download Image")</f>
      </c>
      <c r="C210" s="0" t="inlineStr">
        <is>
          <t>Fessler Infant Cap</t>
        </is>
      </c>
      <c r="D210" s="1">
        <v>115081</v>
      </c>
      <c r="E210" s="0" t="inlineStr">
        <is>
          <t>IOWA FESSLER I BLACK:115081</t>
        </is>
      </c>
      <c r="F210" s="2">
        <v>700115081054</v>
      </c>
      <c r="G210" s="0" t="inlineStr">
        <is>
          <t>INFANT</t>
        </is>
      </c>
      <c r="H210" s="0" t="inlineStr">
        <is>
          <t>STANDARD:47CM</t>
        </is>
      </c>
      <c r="I210" s="0">
        <v>22.99</v>
      </c>
      <c r="J210" s="0">
        <v>27</v>
      </c>
    </row>
    <row r="211" spans="1:10" customHeight="0">
      <c r="A211" s="0">
        <f>HYPERLINK("https://dl.dropboxusercontent.com/scl/fi/r5mlhpxqo7lw2sy4mfx1s/127914-af.jpg?rlkey=g7a04f576zjccugu8la5hhb34&amp;dl=0","Click to download Image")</f>
      </c>
      <c r="C211" s="0" t="inlineStr">
        <is>
          <t>Fessler Youth Cap</t>
        </is>
      </c>
      <c r="D211" s="1">
        <v>127914</v>
      </c>
      <c r="E211" s="0" t="inlineStr">
        <is>
          <t>IOWA FESSLER Y BK:127914</t>
        </is>
      </c>
      <c r="F211" s="2">
        <v>700127914036</v>
      </c>
      <c r="G211" s="0" t="inlineStr">
        <is>
          <t>YOUTH</t>
        </is>
      </c>
      <c r="H211" s="0" t="inlineStr">
        <is>
          <t>STANDARD:55CM</t>
        </is>
      </c>
      <c r="I211" s="0">
        <v>22.99</v>
      </c>
      <c r="J211" s="0">
        <v>84</v>
      </c>
    </row>
    <row r="212" spans="1:10" customHeight="0">
      <c r="A212" s="0">
        <f>HYPERLINK("https://dl.dropboxusercontent.com/scl/fi/zsey2m93s96xgicyzgvcj/editdsc8715-copy-2.jpg?rlkey=wb2wjc0c2bt9q0xji897n90wm&amp;dl=0","Click to download Image")</f>
      </c>
      <c r="C212" s="0" t="inlineStr">
        <is>
          <t>Midland Soft-Sided Cooler</t>
        </is>
      </c>
      <c r="D212" s="1">
        <v>151904</v>
      </c>
      <c r="E212" s="0" t="inlineStr">
        <is>
          <t>IOWA MIDLAN BK:151904</t>
        </is>
      </c>
      <c r="F212" s="2">
        <v>900151904014</v>
      </c>
      <c r="H212" s="0" t="inlineStr">
        <is>
          <t>ONE SIZE</t>
        </is>
      </c>
      <c r="I212" s="0">
        <v>19.99</v>
      </c>
      <c r="J212" s="0">
        <v>122</v>
      </c>
    </row>
    <row r="213" spans="1:10" customHeight="0">
      <c r="A213" s="0">
        <f>HYPERLINK("https://dl.dropboxusercontent.com/scl/fi/f4jk5mzqruqzfp8ukeg0d/129976-f.jpg?rlkey=vrtcy9vj1fsz4ogd7ttma0i2l&amp;dl=0","Click to download Image")</f>
      </c>
      <c r="B213" s="0">
        <f>HYPERLINK("https://dl.dropboxusercontent.com/scl/fi/nrt10wyxskobw83i17lcb/mens-jackets-size-chartswolf.jpg?rlkey=vtpifp64ked55d4afbuwrvnls&amp;dl=0","Click to download SizeChart")</f>
      </c>
      <c r="C213" s="0" t="inlineStr">
        <is>
          <t>Wolf Men's Nano Loft Vest</t>
        </is>
      </c>
      <c r="D213" s="1">
        <v>129976</v>
      </c>
      <c r="E213" s="0" t="inlineStr">
        <is>
          <t>IOWA WOLF M BK:129976A-S</t>
        </is>
      </c>
      <c r="F213" s="2">
        <v>800129976046</v>
      </c>
      <c r="G213" s="0" t="inlineStr">
        <is>
          <t>MENS</t>
        </is>
      </c>
      <c r="H213" s="0" t="inlineStr">
        <is>
          <t>S</t>
        </is>
      </c>
      <c r="I213" s="0">
        <v>79.99</v>
      </c>
      <c r="J213" s="0">
        <v>5</v>
      </c>
    </row>
    <row r="214" spans="1:10" customHeight="0">
      <c r="A214" s="0">
        <f>HYPERLINK("https://dl.dropboxusercontent.com/scl/fi/f4jk5mzqruqzfp8ukeg0d/129976-f.jpg?rlkey=vrtcy9vj1fsz4ogd7ttma0i2l&amp;dl=0","Click to download Image")</f>
      </c>
      <c r="B214" s="0">
        <f>HYPERLINK("https://dl.dropboxusercontent.com/scl/fi/nrt10wyxskobw83i17lcb/mens-jackets-size-chartswolf.jpg?rlkey=vtpifp64ked55d4afbuwrvnls&amp;dl=0","Click to download SizeChart")</f>
      </c>
      <c r="C214" s="0" t="inlineStr">
        <is>
          <t>Wolf Men's Nano Loft Vest</t>
        </is>
      </c>
      <c r="D214" s="1">
        <v>129976</v>
      </c>
      <c r="E214" s="0" t="inlineStr">
        <is>
          <t>IOWA WOLF M BK:129976B-M</t>
        </is>
      </c>
      <c r="F214" s="2">
        <v>800129976053</v>
      </c>
      <c r="G214" s="0" t="inlineStr">
        <is>
          <t>MENS</t>
        </is>
      </c>
      <c r="H214" s="0" t="inlineStr">
        <is>
          <t>M</t>
        </is>
      </c>
      <c r="I214" s="0">
        <v>79.99</v>
      </c>
      <c r="J214" s="0">
        <v>8</v>
      </c>
    </row>
    <row r="215" spans="1:10" customHeight="0">
      <c r="A215" s="0">
        <f>HYPERLINK("https://dl.dropboxusercontent.com/scl/fi/f4jk5mzqruqzfp8ukeg0d/129976-f.jpg?rlkey=vrtcy9vj1fsz4ogd7ttma0i2l&amp;dl=0","Click to download Image")</f>
      </c>
      <c r="B215" s="0">
        <f>HYPERLINK("https://dl.dropboxusercontent.com/scl/fi/nrt10wyxskobw83i17lcb/mens-jackets-size-chartswolf.jpg?rlkey=vtpifp64ked55d4afbuwrvnls&amp;dl=0","Click to download SizeChart")</f>
      </c>
      <c r="C215" s="0" t="inlineStr">
        <is>
          <t>Wolf Men's Nano Loft Vest</t>
        </is>
      </c>
      <c r="D215" s="1">
        <v>129976</v>
      </c>
      <c r="E215" s="0" t="inlineStr">
        <is>
          <t>IOWA WOLF M BK:129976C-L</t>
        </is>
      </c>
      <c r="F215" s="2">
        <v>800129976060</v>
      </c>
      <c r="G215" s="0" t="inlineStr">
        <is>
          <t>MENS</t>
        </is>
      </c>
      <c r="H215" s="0" t="inlineStr">
        <is>
          <t>L</t>
        </is>
      </c>
      <c r="I215" s="0">
        <v>79.99</v>
      </c>
      <c r="J215" s="0">
        <v>1</v>
      </c>
    </row>
    <row r="216" spans="1:10" customHeight="0">
      <c r="A216" s="0">
        <f>HYPERLINK("https://dl.dropboxusercontent.com/scl/fi/f4jk5mzqruqzfp8ukeg0d/129976-f.jpg?rlkey=vrtcy9vj1fsz4ogd7ttma0i2l&amp;dl=0","Click to download Image")</f>
      </c>
      <c r="B216" s="0">
        <f>HYPERLINK("https://dl.dropboxusercontent.com/scl/fi/nrt10wyxskobw83i17lcb/mens-jackets-size-chartswolf.jpg?rlkey=vtpifp64ked55d4afbuwrvnls&amp;dl=0","Click to download SizeChart")</f>
      </c>
      <c r="C216" s="0" t="inlineStr">
        <is>
          <t>Wolf Men's Nano Loft Vest</t>
        </is>
      </c>
      <c r="D216" s="1">
        <v>129976</v>
      </c>
      <c r="E216" s="0" t="inlineStr">
        <is>
          <t>IOWA WOLF M BK:129976D-XL</t>
        </is>
      </c>
      <c r="F216" s="2">
        <v>800129976077</v>
      </c>
      <c r="G216" s="0" t="inlineStr">
        <is>
          <t>MENS</t>
        </is>
      </c>
      <c r="H216" s="0" t="inlineStr">
        <is>
          <t>XL</t>
        </is>
      </c>
      <c r="I216" s="0">
        <v>79.99</v>
      </c>
      <c r="J216" s="0">
        <v>4</v>
      </c>
    </row>
    <row r="217" spans="1:10" customHeight="0">
      <c r="A217" s="0">
        <f>HYPERLINK("https://dl.dropboxusercontent.com/scl/fi/f4jk5mzqruqzfp8ukeg0d/129976-f.jpg?rlkey=vrtcy9vj1fsz4ogd7ttma0i2l&amp;dl=0","Click to download Image")</f>
      </c>
      <c r="B217" s="0">
        <f>HYPERLINK("https://dl.dropboxusercontent.com/scl/fi/nrt10wyxskobw83i17lcb/mens-jackets-size-chartswolf.jpg?rlkey=vtpifp64ked55d4afbuwrvnls&amp;dl=0","Click to download SizeChart")</f>
      </c>
      <c r="C217" s="0" t="inlineStr">
        <is>
          <t>Wolf Men's Nano Loft Vest</t>
        </is>
      </c>
      <c r="D217" s="1">
        <v>129976</v>
      </c>
      <c r="E217" s="0" t="inlineStr">
        <is>
          <t>IOWA WOLF M BK:129976E-2XL</t>
        </is>
      </c>
      <c r="F217" s="2">
        <v>800129976084</v>
      </c>
      <c r="G217" s="0" t="inlineStr">
        <is>
          <t>MENS</t>
        </is>
      </c>
      <c r="H217" s="0" t="inlineStr">
        <is>
          <t>2XL</t>
        </is>
      </c>
      <c r="I217" s="0">
        <v>79.99</v>
      </c>
      <c r="J217" s="0">
        <v>1</v>
      </c>
    </row>
    <row r="218" spans="1:10" customHeight="0">
      <c r="A218" s="0">
        <f>HYPERLINK("https://dl.dropboxusercontent.com/scl/fi/f4jk5mzqruqzfp8ukeg0d/129976-f.jpg?rlkey=vrtcy9vj1fsz4ogd7ttma0i2l&amp;dl=0","Click to download Image")</f>
      </c>
      <c r="B218" s="0">
        <f>HYPERLINK("https://dl.dropboxusercontent.com/scl/fi/nrt10wyxskobw83i17lcb/mens-jackets-size-chartswolf.jpg?rlkey=vtpifp64ked55d4afbuwrvnls&amp;dl=0","Click to download SizeChart")</f>
      </c>
      <c r="C218" s="0" t="inlineStr">
        <is>
          <t>Wolf Men's Nano Loft Vest</t>
        </is>
      </c>
      <c r="D218" s="1">
        <v>129976</v>
      </c>
      <c r="E218" s="0" t="inlineStr">
        <is>
          <t>IOWA WOLF M BK:129976F-3XL</t>
        </is>
      </c>
      <c r="F218" s="2">
        <v>800129976091</v>
      </c>
      <c r="G218" s="0" t="inlineStr">
        <is>
          <t>MENS</t>
        </is>
      </c>
      <c r="H218" s="0" t="inlineStr">
        <is>
          <t>3XL</t>
        </is>
      </c>
      <c r="I218" s="0">
        <v>79.99</v>
      </c>
      <c r="J218" s="0">
        <v>5</v>
      </c>
    </row>
    <row r="219" spans="1:10" customHeight="0">
      <c r="A219" s="0">
        <f>HYPERLINK("https://dl.dropboxusercontent.com/scl/fi/f4jk5mzqruqzfp8ukeg0d/129976-f.jpg?rlkey=vrtcy9vj1fsz4ogd7ttma0i2l&amp;dl=0","Click to download Image")</f>
      </c>
      <c r="B219" s="0">
        <f>HYPERLINK("https://dl.dropboxusercontent.com/scl/fi/nrt10wyxskobw83i17lcb/mens-jackets-size-chartswolf.jpg?rlkey=vtpifp64ked55d4afbuwrvnls&amp;dl=0","Click to download SizeChart")</f>
      </c>
      <c r="C219" s="0" t="inlineStr">
        <is>
          <t>Wolf Men's Nano Loft Vest</t>
        </is>
      </c>
      <c r="D219" s="1">
        <v>129976</v>
      </c>
      <c r="E219" s="0" t="inlineStr">
        <is>
          <t>IOWA WOLF M BK 12PK:129976Z-12PK</t>
        </is>
      </c>
      <c r="F219" s="2">
        <v>800129976992</v>
      </c>
      <c r="G219" s="0" t="inlineStr">
        <is>
          <t>MENS</t>
        </is>
      </c>
      <c r="H219" s="0" t="inlineStr">
        <is>
          <t>12 PACK</t>
        </is>
      </c>
      <c r="I219" s="0">
        <v>774</v>
      </c>
      <c r="J219" s="0">
        <v>0</v>
      </c>
    </row>
    <row r="220" spans="1:10" customHeight="0">
      <c r="A220" s="0">
        <f>HYPERLINK("https://dl.dropboxusercontent.com/scl/fi/ez83y0pz8xzbf08x9ui8e/torin-129981-f.jpg?rlkey=oen4a0xd1oe73c5m4v8y1lscu&amp;dl=0","Click to download Image")</f>
      </c>
      <c r="C220" s="0" t="inlineStr">
        <is>
          <t>Torin Men's Hoodie</t>
        </is>
      </c>
      <c r="D220" s="1">
        <v>129981</v>
      </c>
      <c r="E220" s="0" t="inlineStr">
        <is>
          <t>IOWA TORIN M BK:129981A-S</t>
        </is>
      </c>
      <c r="F220" s="2">
        <v>800129981040</v>
      </c>
      <c r="G220" s="0" t="inlineStr">
        <is>
          <t>MENS</t>
        </is>
      </c>
      <c r="H220" s="0" t="inlineStr">
        <is>
          <t>S</t>
        </is>
      </c>
      <c r="I220" s="0">
        <v>59.99</v>
      </c>
      <c r="J220" s="0">
        <v>1</v>
      </c>
    </row>
    <row r="221" spans="1:10" customHeight="0">
      <c r="A221" s="0">
        <f>HYPERLINK("https://dl.dropboxusercontent.com/scl/fi/ez83y0pz8xzbf08x9ui8e/torin-129981-f.jpg?rlkey=oen4a0xd1oe73c5m4v8y1lscu&amp;dl=0","Click to download Image")</f>
      </c>
      <c r="C221" s="0" t="inlineStr">
        <is>
          <t>Torin Men's Hoodie</t>
        </is>
      </c>
      <c r="D221" s="1">
        <v>129981</v>
      </c>
      <c r="E221" s="0" t="inlineStr">
        <is>
          <t>IOWA TORIN M BK:129981B-M</t>
        </is>
      </c>
      <c r="F221" s="2">
        <v>800129981057</v>
      </c>
      <c r="G221" s="0" t="inlineStr">
        <is>
          <t>MENS</t>
        </is>
      </c>
      <c r="H221" s="0" t="inlineStr">
        <is>
          <t>M</t>
        </is>
      </c>
      <c r="I221" s="0">
        <v>59.99</v>
      </c>
      <c r="J221" s="0">
        <v>4</v>
      </c>
    </row>
    <row r="222" spans="1:10" customHeight="0">
      <c r="A222" s="0">
        <f>HYPERLINK("https://dl.dropboxusercontent.com/scl/fi/ez83y0pz8xzbf08x9ui8e/torin-129981-f.jpg?rlkey=oen4a0xd1oe73c5m4v8y1lscu&amp;dl=0","Click to download Image")</f>
      </c>
      <c r="C222" s="0" t="inlineStr">
        <is>
          <t>Torin Men's Hoodie</t>
        </is>
      </c>
      <c r="D222" s="1">
        <v>129981</v>
      </c>
      <c r="E222" s="0" t="inlineStr">
        <is>
          <t>IOWA TORIN M BK:129981C-L</t>
        </is>
      </c>
      <c r="F222" s="2">
        <v>800129981064</v>
      </c>
      <c r="G222" s="0" t="inlineStr">
        <is>
          <t>MENS</t>
        </is>
      </c>
      <c r="H222" s="0" t="inlineStr">
        <is>
          <t>L</t>
        </is>
      </c>
      <c r="I222" s="0">
        <v>59.99</v>
      </c>
      <c r="J222" s="0">
        <v>0</v>
      </c>
    </row>
    <row r="223" spans="1:10" customHeight="0">
      <c r="A223" s="0">
        <f>HYPERLINK("https://dl.dropboxusercontent.com/scl/fi/ez83y0pz8xzbf08x9ui8e/torin-129981-f.jpg?rlkey=oen4a0xd1oe73c5m4v8y1lscu&amp;dl=0","Click to download Image")</f>
      </c>
      <c r="C223" s="0" t="inlineStr">
        <is>
          <t>Torin Men's Hoodie</t>
        </is>
      </c>
      <c r="D223" s="1">
        <v>129981</v>
      </c>
      <c r="E223" s="0" t="inlineStr">
        <is>
          <t>IOWA TORIN M BK:129981D-XL</t>
        </is>
      </c>
      <c r="F223" s="2">
        <v>800129981071</v>
      </c>
      <c r="G223" s="0" t="inlineStr">
        <is>
          <t>MENS</t>
        </is>
      </c>
      <c r="H223" s="0" t="inlineStr">
        <is>
          <t>XL</t>
        </is>
      </c>
      <c r="I223" s="0">
        <v>59.99</v>
      </c>
      <c r="J223" s="0">
        <v>0</v>
      </c>
    </row>
    <row r="224" spans="1:10" customHeight="0">
      <c r="A224" s="0">
        <f>HYPERLINK("https://dl.dropboxusercontent.com/scl/fi/ez83y0pz8xzbf08x9ui8e/torin-129981-f.jpg?rlkey=oen4a0xd1oe73c5m4v8y1lscu&amp;dl=0","Click to download Image")</f>
      </c>
      <c r="C224" s="0" t="inlineStr">
        <is>
          <t>Torin Men's Hoodie</t>
        </is>
      </c>
      <c r="D224" s="1">
        <v>129981</v>
      </c>
      <c r="E224" s="0" t="inlineStr">
        <is>
          <t>IOWA TORIN M BK:129981E-2XL</t>
        </is>
      </c>
      <c r="F224" s="2">
        <v>800129981088</v>
      </c>
      <c r="G224" s="0" t="inlineStr">
        <is>
          <t>MENS</t>
        </is>
      </c>
      <c r="H224" s="0" t="inlineStr">
        <is>
          <t>2XL</t>
        </is>
      </c>
      <c r="I224" s="0">
        <v>59.99</v>
      </c>
      <c r="J224" s="0">
        <v>4</v>
      </c>
    </row>
    <row r="225" spans="1:10" customHeight="0">
      <c r="A225" s="0">
        <f>HYPERLINK("https://dl.dropboxusercontent.com/scl/fi/ez83y0pz8xzbf08x9ui8e/torin-129981-f.jpg?rlkey=oen4a0xd1oe73c5m4v8y1lscu&amp;dl=0","Click to download Image")</f>
      </c>
      <c r="C225" s="0" t="inlineStr">
        <is>
          <t>Torin Men's Hoodie</t>
        </is>
      </c>
      <c r="D225" s="1">
        <v>129981</v>
      </c>
      <c r="E225" s="0" t="inlineStr">
        <is>
          <t>IOWA TORIN M BK:129981F-3XL</t>
        </is>
      </c>
      <c r="F225" s="2">
        <v>800129981095</v>
      </c>
      <c r="G225" s="0" t="inlineStr">
        <is>
          <t>MENS</t>
        </is>
      </c>
      <c r="H225" s="0" t="inlineStr">
        <is>
          <t>3XL</t>
        </is>
      </c>
      <c r="I225" s="0">
        <v>59.99</v>
      </c>
      <c r="J225" s="0">
        <v>2</v>
      </c>
    </row>
    <row r="226" spans="1:10" customHeight="0">
      <c r="A226" s="0">
        <f>HYPERLINK("https://dl.dropboxusercontent.com/scl/fi/ez83y0pz8xzbf08x9ui8e/torin-129981-f.jpg?rlkey=oen4a0xd1oe73c5m4v8y1lscu&amp;dl=0","Click to download Image")</f>
      </c>
      <c r="C226" s="0" t="inlineStr">
        <is>
          <t>Torin Men's Hoodie</t>
        </is>
      </c>
      <c r="D226" s="1">
        <v>129981</v>
      </c>
      <c r="E226" s="0" t="inlineStr">
        <is>
          <t>IOWA TORIN M BK 12 PK:129981Z-12PK</t>
        </is>
      </c>
      <c r="F226" s="2">
        <v>800129981996</v>
      </c>
      <c r="G226" s="0" t="inlineStr">
        <is>
          <t>MENS</t>
        </is>
      </c>
      <c r="H226" s="0" t="inlineStr">
        <is>
          <t>12 PACK</t>
        </is>
      </c>
      <c r="I226" s="0">
        <v>582</v>
      </c>
      <c r="J226" s="0">
        <v>0</v>
      </c>
    </row>
    <row r="227" spans="1:10" customHeight="0">
      <c r="A227" s="0">
        <f>HYPERLINK("https://dl.dropboxusercontent.com/scl/fi/jmi5fmepypz7nkt47pw1q/126312-f.jpg?rlkey=plee3xdodipv4l5hpxthux3dn&amp;dl=0","Click to download Image")</f>
      </c>
      <c r="C227" s="0" t="inlineStr">
        <is>
          <t>Stellan Crossbody Sling</t>
        </is>
      </c>
      <c r="D227" s="1">
        <v>126312</v>
      </c>
      <c r="E227" s="0" t="inlineStr">
        <is>
          <t>IOWA STELLA BC:126312</t>
        </is>
      </c>
      <c r="F227" s="2">
        <v>900126312011</v>
      </c>
      <c r="I227" s="0">
        <v>39.99</v>
      </c>
      <c r="J227" s="0">
        <v>119</v>
      </c>
    </row>
    <row r="228" spans="1:10" customHeight="0">
      <c r="A228" s="0">
        <f>HYPERLINK("https://dl.dropboxusercontent.com/scl/fi/2pq28cgwqcx0au4sqaesp/129937-f.jpg?rlkey=5f54djdsctycq41hr8slcaifb&amp;dl=0","Click to download Image")</f>
      </c>
      <c r="B228" s="0">
        <f>HYPERLINK("https://dl.dropboxusercontent.com/scl/fi/h43ey4w4k1jp6hm4pnjp6/womens-size-chartssierra.jpg?rlkey=mxi3ztdghpk5hlf4jhk1q5qva&amp;dl=0","Click to download SizeChart")</f>
      </c>
      <c r="C228" s="0" t="inlineStr">
        <is>
          <t>Sierra Women's Quilted Canvas Jacket</t>
        </is>
      </c>
      <c r="D228" s="1">
        <v>129937</v>
      </c>
      <c r="E228" s="0" t="inlineStr">
        <is>
          <t>IOWA SIERRA W BK:129937A-S</t>
        </is>
      </c>
      <c r="F228" s="2">
        <v>800129937047</v>
      </c>
      <c r="G228" s="0" t="inlineStr">
        <is>
          <t>WOMENS</t>
        </is>
      </c>
      <c r="H228" s="0" t="inlineStr">
        <is>
          <t>S</t>
        </is>
      </c>
      <c r="I228" s="0">
        <v>79.99</v>
      </c>
      <c r="J228" s="0">
        <v>5</v>
      </c>
    </row>
    <row r="229" spans="1:10" customHeight="0">
      <c r="A229" s="0">
        <f>HYPERLINK("https://dl.dropboxusercontent.com/scl/fi/2pq28cgwqcx0au4sqaesp/129937-f.jpg?rlkey=5f54djdsctycq41hr8slcaifb&amp;dl=0","Click to download Image")</f>
      </c>
      <c r="B229" s="0">
        <f>HYPERLINK("https://dl.dropboxusercontent.com/scl/fi/h43ey4w4k1jp6hm4pnjp6/womens-size-chartssierra.jpg?rlkey=mxi3ztdghpk5hlf4jhk1q5qva&amp;dl=0","Click to download SizeChart")</f>
      </c>
      <c r="C229" s="0" t="inlineStr">
        <is>
          <t>Sierra Women's Quilted Canvas Jacket</t>
        </is>
      </c>
      <c r="D229" s="1">
        <v>129937</v>
      </c>
      <c r="E229" s="0" t="inlineStr">
        <is>
          <t>IOWA SIERRA W BK:129937B-M</t>
        </is>
      </c>
      <c r="F229" s="2">
        <v>800129937054</v>
      </c>
      <c r="G229" s="0" t="inlineStr">
        <is>
          <t>WOMENS</t>
        </is>
      </c>
      <c r="H229" s="0" t="inlineStr">
        <is>
          <t>M</t>
        </is>
      </c>
      <c r="I229" s="0">
        <v>79.99</v>
      </c>
      <c r="J229" s="0">
        <v>10</v>
      </c>
    </row>
    <row r="230" spans="1:10" customHeight="0">
      <c r="A230" s="0">
        <f>HYPERLINK("https://dl.dropboxusercontent.com/scl/fi/2pq28cgwqcx0au4sqaesp/129937-f.jpg?rlkey=5f54djdsctycq41hr8slcaifb&amp;dl=0","Click to download Image")</f>
      </c>
      <c r="B230" s="0">
        <f>HYPERLINK("https://dl.dropboxusercontent.com/scl/fi/h43ey4w4k1jp6hm4pnjp6/womens-size-chartssierra.jpg?rlkey=mxi3ztdghpk5hlf4jhk1q5qva&amp;dl=0","Click to download SizeChart")</f>
      </c>
      <c r="C230" s="0" t="inlineStr">
        <is>
          <t>Sierra Women's Quilted Canvas Jacket</t>
        </is>
      </c>
      <c r="D230" s="1">
        <v>129937</v>
      </c>
      <c r="E230" s="0" t="inlineStr">
        <is>
          <t>IOWA SIERRA W BK:129937C-L</t>
        </is>
      </c>
      <c r="F230" s="2">
        <v>800129937061</v>
      </c>
      <c r="G230" s="0" t="inlineStr">
        <is>
          <t>WOMENS</t>
        </is>
      </c>
      <c r="H230" s="0" t="inlineStr">
        <is>
          <t>L</t>
        </is>
      </c>
      <c r="I230" s="0">
        <v>79.99</v>
      </c>
      <c r="J230" s="0">
        <v>11</v>
      </c>
    </row>
    <row r="231" spans="1:10" customHeight="0">
      <c r="A231" s="0">
        <f>HYPERLINK("https://dl.dropboxusercontent.com/scl/fi/2pq28cgwqcx0au4sqaesp/129937-f.jpg?rlkey=5f54djdsctycq41hr8slcaifb&amp;dl=0","Click to download Image")</f>
      </c>
      <c r="B231" s="0">
        <f>HYPERLINK("https://dl.dropboxusercontent.com/scl/fi/h43ey4w4k1jp6hm4pnjp6/womens-size-chartssierra.jpg?rlkey=mxi3ztdghpk5hlf4jhk1q5qva&amp;dl=0","Click to download SizeChart")</f>
      </c>
      <c r="C231" s="0" t="inlineStr">
        <is>
          <t>Sierra Women's Quilted Canvas Jacket</t>
        </is>
      </c>
      <c r="D231" s="1">
        <v>129937</v>
      </c>
      <c r="E231" s="0" t="inlineStr">
        <is>
          <t>IOWA SIERRA W BK:129937D-XL</t>
        </is>
      </c>
      <c r="F231" s="2">
        <v>800129937078</v>
      </c>
      <c r="G231" s="0" t="inlineStr">
        <is>
          <t>WOMENS</t>
        </is>
      </c>
      <c r="H231" s="0" t="inlineStr">
        <is>
          <t>XL</t>
        </is>
      </c>
      <c r="I231" s="0">
        <v>79.99</v>
      </c>
      <c r="J231" s="0">
        <v>3</v>
      </c>
    </row>
    <row r="232" spans="1:10" customHeight="0">
      <c r="A232" s="0">
        <f>HYPERLINK("https://dl.dropboxusercontent.com/scl/fi/2pq28cgwqcx0au4sqaesp/129937-f.jpg?rlkey=5f54djdsctycq41hr8slcaifb&amp;dl=0","Click to download Image")</f>
      </c>
      <c r="B232" s="0">
        <f>HYPERLINK("https://dl.dropboxusercontent.com/scl/fi/h43ey4w4k1jp6hm4pnjp6/womens-size-chartssierra.jpg?rlkey=mxi3ztdghpk5hlf4jhk1q5qva&amp;dl=0","Click to download SizeChart")</f>
      </c>
      <c r="C232" s="0" t="inlineStr">
        <is>
          <t>Sierra Women's Quilted Canvas Jacket</t>
        </is>
      </c>
      <c r="D232" s="1">
        <v>129937</v>
      </c>
      <c r="E232" s="0" t="inlineStr">
        <is>
          <t>IOWA SIERRA W BK:129937E-2XL</t>
        </is>
      </c>
      <c r="F232" s="2">
        <v>800129937085</v>
      </c>
      <c r="G232" s="0" t="inlineStr">
        <is>
          <t>WOMENS</t>
        </is>
      </c>
      <c r="H232" s="0" t="inlineStr">
        <is>
          <t>2XL</t>
        </is>
      </c>
      <c r="I232" s="0">
        <v>79.99</v>
      </c>
      <c r="J232" s="0">
        <v>1</v>
      </c>
    </row>
    <row r="233" spans="1:10" customHeight="0">
      <c r="A233" s="0">
        <f>HYPERLINK("https://dl.dropboxusercontent.com/scl/fi/2pq28cgwqcx0au4sqaesp/129937-f.jpg?rlkey=5f54djdsctycq41hr8slcaifb&amp;dl=0","Click to download Image")</f>
      </c>
      <c r="B233" s="0">
        <f>HYPERLINK("https://dl.dropboxusercontent.com/scl/fi/h43ey4w4k1jp6hm4pnjp6/womens-size-chartssierra.jpg?rlkey=mxi3ztdghpk5hlf4jhk1q5qva&amp;dl=0","Click to download SizeChart")</f>
      </c>
      <c r="C233" s="0" t="inlineStr">
        <is>
          <t>Sierra Women's Quilted Canvas Jacket</t>
        </is>
      </c>
      <c r="D233" s="1">
        <v>129937</v>
      </c>
      <c r="E233" s="0" t="inlineStr">
        <is>
          <t>IOWA SIERRA W BK:129937F-3XL</t>
        </is>
      </c>
      <c r="F233" s="2">
        <v>800129937092</v>
      </c>
      <c r="G233" s="0" t="inlineStr">
        <is>
          <t>WOMENS</t>
        </is>
      </c>
      <c r="H233" s="0" t="inlineStr">
        <is>
          <t>3XL</t>
        </is>
      </c>
      <c r="I233" s="0">
        <v>79.99</v>
      </c>
      <c r="J233" s="0">
        <v>1</v>
      </c>
    </row>
    <row r="234" spans="1:10" customHeight="0">
      <c r="A234" s="0">
        <f>HYPERLINK("https://dl.dropboxusercontent.com/scl/fi/2pq28cgwqcx0au4sqaesp/129937-f.jpg?rlkey=5f54djdsctycq41hr8slcaifb&amp;dl=0","Click to download Image")</f>
      </c>
      <c r="B234" s="0">
        <f>HYPERLINK("https://dl.dropboxusercontent.com/scl/fi/h43ey4w4k1jp6hm4pnjp6/womens-size-chartssierra.jpg?rlkey=mxi3ztdghpk5hlf4jhk1q5qva&amp;dl=0","Click to download SizeChart")</f>
      </c>
      <c r="C234" s="0" t="inlineStr">
        <is>
          <t>Sierra Women's Quilted Canvas Jacket</t>
        </is>
      </c>
      <c r="D234" s="1">
        <v>129937</v>
      </c>
      <c r="E234" s="0" t="inlineStr">
        <is>
          <t>IOWA SIERRA W BK 12PK:129937Z-12PK</t>
        </is>
      </c>
      <c r="F234" s="2">
        <v>800129937993</v>
      </c>
      <c r="G234" s="0" t="inlineStr">
        <is>
          <t>WOMENS</t>
        </is>
      </c>
      <c r="H234" s="0" t="inlineStr">
        <is>
          <t>12 PACK</t>
        </is>
      </c>
      <c r="I234" s="0">
        <v>79.99</v>
      </c>
      <c r="J234" s="0">
        <v>0</v>
      </c>
    </row>
    <row r="235" spans="1:10" customHeight="0">
      <c r="A235" s="0">
        <f>HYPERLINK("https://dl.dropboxusercontent.com/scl/fi/9uk5efprcga00zm00w5qg/dyanm1.jpg?rlkey=pepp2kza4g8waz3z6gyn92nh2&amp;dl=0","Click to download Image")</f>
      </c>
      <c r="C235" s="0" t="inlineStr">
        <is>
          <t>Dyan Women's Long Sleeve</t>
        </is>
      </c>
      <c r="D235" s="1">
        <v>123410</v>
      </c>
      <c r="E235" s="0" t="inlineStr">
        <is>
          <t>IOWA DYAN W GY:123410A-S</t>
        </is>
      </c>
      <c r="F235" s="2">
        <v>800123410041</v>
      </c>
      <c r="G235" s="0" t="inlineStr">
        <is>
          <t>WOMENS</t>
        </is>
      </c>
      <c r="H235" s="0" t="inlineStr">
        <is>
          <t>S</t>
        </is>
      </c>
      <c r="I235" s="0">
        <v>39.99</v>
      </c>
      <c r="J235" s="0">
        <v>7</v>
      </c>
    </row>
    <row r="236" spans="1:10" customHeight="0">
      <c r="A236" s="0">
        <f>HYPERLINK("https://dl.dropboxusercontent.com/scl/fi/9uk5efprcga00zm00w5qg/dyanm1.jpg?rlkey=pepp2kza4g8waz3z6gyn92nh2&amp;dl=0","Click to download Image")</f>
      </c>
      <c r="C236" s="0" t="inlineStr">
        <is>
          <t>Dyan Women's Long Sleeve</t>
        </is>
      </c>
      <c r="D236" s="1">
        <v>123410</v>
      </c>
      <c r="E236" s="0" t="inlineStr">
        <is>
          <t>IOWA DYAN W GY:123410B-M</t>
        </is>
      </c>
      <c r="F236" s="2">
        <v>800123410058</v>
      </c>
      <c r="G236" s="0" t="inlineStr">
        <is>
          <t>WOMENS</t>
        </is>
      </c>
      <c r="H236" s="0" t="inlineStr">
        <is>
          <t>M</t>
        </is>
      </c>
      <c r="I236" s="0">
        <v>39.99</v>
      </c>
      <c r="J236" s="0">
        <v>12</v>
      </c>
    </row>
    <row r="237" spans="1:10" customHeight="0">
      <c r="A237" s="0">
        <f>HYPERLINK("https://dl.dropboxusercontent.com/scl/fi/9uk5efprcga00zm00w5qg/dyanm1.jpg?rlkey=pepp2kza4g8waz3z6gyn92nh2&amp;dl=0","Click to download Image")</f>
      </c>
      <c r="C237" s="0" t="inlineStr">
        <is>
          <t>Dyan Women's Long Sleeve</t>
        </is>
      </c>
      <c r="D237" s="1">
        <v>123410</v>
      </c>
      <c r="E237" s="0" t="inlineStr">
        <is>
          <t>IOWA DYAN W GY:123410C-L</t>
        </is>
      </c>
      <c r="F237" s="2">
        <v>800123410065</v>
      </c>
      <c r="G237" s="0" t="inlineStr">
        <is>
          <t>WOMENS</t>
        </is>
      </c>
      <c r="H237" s="0" t="inlineStr">
        <is>
          <t>L</t>
        </is>
      </c>
      <c r="I237" s="0">
        <v>39.99</v>
      </c>
      <c r="J237" s="0">
        <v>12</v>
      </c>
    </row>
    <row r="238" spans="1:10" customHeight="0">
      <c r="A238" s="0">
        <f>HYPERLINK("https://dl.dropboxusercontent.com/scl/fi/9uk5efprcga00zm00w5qg/dyanm1.jpg?rlkey=pepp2kza4g8waz3z6gyn92nh2&amp;dl=0","Click to download Image")</f>
      </c>
      <c r="C238" s="0" t="inlineStr">
        <is>
          <t>Dyan Women's Long Sleeve</t>
        </is>
      </c>
      <c r="D238" s="1">
        <v>123410</v>
      </c>
      <c r="E238" s="0" t="inlineStr">
        <is>
          <t>IOWA DYAN W GY:123410D-XL</t>
        </is>
      </c>
      <c r="F238" s="2">
        <v>800123410072</v>
      </c>
      <c r="G238" s="0" t="inlineStr">
        <is>
          <t>WOMENS</t>
        </is>
      </c>
      <c r="H238" s="0" t="inlineStr">
        <is>
          <t>XL</t>
        </is>
      </c>
      <c r="I238" s="0">
        <v>39.99</v>
      </c>
      <c r="J238" s="0">
        <v>6</v>
      </c>
    </row>
    <row r="239" spans="1:10" customHeight="0">
      <c r="A239" s="0">
        <f>HYPERLINK("https://dl.dropboxusercontent.com/scl/fi/9uk5efprcga00zm00w5qg/dyanm1.jpg?rlkey=pepp2kza4g8waz3z6gyn92nh2&amp;dl=0","Click to download Image")</f>
      </c>
      <c r="C239" s="0" t="inlineStr">
        <is>
          <t>Dyan Women's Long Sleeve</t>
        </is>
      </c>
      <c r="D239" s="1">
        <v>123410</v>
      </c>
      <c r="E239" s="0" t="inlineStr">
        <is>
          <t>IOWA DYAN W GY:123410E-2XL</t>
        </is>
      </c>
      <c r="F239" s="2">
        <v>800123410089</v>
      </c>
      <c r="G239" s="0" t="inlineStr">
        <is>
          <t>WOMENS</t>
        </is>
      </c>
      <c r="H239" s="0" t="inlineStr">
        <is>
          <t>2XL</t>
        </is>
      </c>
      <c r="I239" s="0">
        <v>39.99</v>
      </c>
      <c r="J239" s="0">
        <v>3</v>
      </c>
    </row>
    <row r="240" spans="1:10" customHeight="0">
      <c r="A240" s="0">
        <f>HYPERLINK("https://dl.dropboxusercontent.com/scl/fi/9uk5efprcga00zm00w5qg/dyanm1.jpg?rlkey=pepp2kza4g8waz3z6gyn92nh2&amp;dl=0","Click to download Image")</f>
      </c>
      <c r="C240" s="0" t="inlineStr">
        <is>
          <t>Dyan Women's Long Sleeve</t>
        </is>
      </c>
      <c r="D240" s="1">
        <v>123410</v>
      </c>
      <c r="E240" s="0" t="inlineStr">
        <is>
          <t>IOWA DYAN W GY:123410F-3XL</t>
        </is>
      </c>
      <c r="F240" s="2">
        <v>800123410096</v>
      </c>
      <c r="G240" s="0" t="inlineStr">
        <is>
          <t>WOMENS</t>
        </is>
      </c>
      <c r="H240" s="0" t="inlineStr">
        <is>
          <t>3XL</t>
        </is>
      </c>
      <c r="I240" s="0">
        <v>39.99</v>
      </c>
      <c r="J240" s="0">
        <v>1</v>
      </c>
    </row>
    <row r="241" spans="1:10" customHeight="0">
      <c r="A241" s="0">
        <f>HYPERLINK("https://dl.dropboxusercontent.com/scl/fi/9uk5efprcga00zm00w5qg/dyanm1.jpg?rlkey=pepp2kza4g8waz3z6gyn92nh2&amp;dl=0","Click to download Image")</f>
      </c>
      <c r="C241" s="0" t="inlineStr">
        <is>
          <t>Dyan Women's Long Sleeve</t>
        </is>
      </c>
      <c r="D241" s="1">
        <v>123410</v>
      </c>
      <c r="E241" s="0" t="inlineStr">
        <is>
          <t>IOWA DYAN W GY 12PK:123410Z-12PK</t>
        </is>
      </c>
      <c r="F241" s="2">
        <v>800123410997</v>
      </c>
      <c r="G241" s="0" t="inlineStr">
        <is>
          <t>WOMENS</t>
        </is>
      </c>
      <c r="H241" s="0" t="inlineStr">
        <is>
          <t>12 PACK</t>
        </is>
      </c>
      <c r="I241" s="0">
        <v>384</v>
      </c>
      <c r="J241" s="0">
        <v>0</v>
      </c>
    </row>
    <row r="242" spans="1:10" customHeight="0">
      <c r="A242" s="0">
        <f>HYPERLINK("https://dl.dropboxusercontent.com/scl/fi/33xz9dpnyf698w0dvnhm9/adair-126818-f.jpg?rlkey=5ik9p8p7yvj8y4p4ctl6c9tqp&amp;dl=0","Click to download Image")</f>
      </c>
      <c r="B242" s="0">
        <f>HYPERLINK("https://dl.dropboxusercontent.com/scl/fi/l2i6p1x3b36yvwnw08lve/mens-jackets-size-chartsadair.jpg?rlkey=acuw8ci4wvsc0mjvc8kh3aa63&amp;dl=0","Click to download SizeChart")</f>
      </c>
      <c r="C242" s="0" t="inlineStr">
        <is>
          <t>Adair Men's Vest</t>
        </is>
      </c>
      <c r="D242" s="1">
        <v>126818</v>
      </c>
      <c r="E242" s="0" t="inlineStr">
        <is>
          <t>IOWA ADAIR M BK:126818A-S</t>
        </is>
      </c>
      <c r="F242" s="2">
        <v>800126818042</v>
      </c>
      <c r="G242" s="0" t="inlineStr">
        <is>
          <t>MENS</t>
        </is>
      </c>
      <c r="H242" s="0" t="inlineStr">
        <is>
          <t>S</t>
        </is>
      </c>
      <c r="I242" s="0">
        <v>59.99</v>
      </c>
      <c r="J242" s="0">
        <v>5</v>
      </c>
    </row>
    <row r="243" spans="1:10" customHeight="0">
      <c r="A243" s="0">
        <f>HYPERLINK("https://dl.dropboxusercontent.com/scl/fi/33xz9dpnyf698w0dvnhm9/adair-126818-f.jpg?rlkey=5ik9p8p7yvj8y4p4ctl6c9tqp&amp;dl=0","Click to download Image")</f>
      </c>
      <c r="B243" s="0">
        <f>HYPERLINK("https://dl.dropboxusercontent.com/scl/fi/l2i6p1x3b36yvwnw08lve/mens-jackets-size-chartsadair.jpg?rlkey=acuw8ci4wvsc0mjvc8kh3aa63&amp;dl=0","Click to download SizeChart")</f>
      </c>
      <c r="C243" s="0" t="inlineStr">
        <is>
          <t>Adair Men's Vest</t>
        </is>
      </c>
      <c r="D243" s="1">
        <v>126818</v>
      </c>
      <c r="E243" s="0" t="inlineStr">
        <is>
          <t>IOWA ADAIR M BK:126818B-M</t>
        </is>
      </c>
      <c r="F243" s="2">
        <v>800126818059</v>
      </c>
      <c r="G243" s="0" t="inlineStr">
        <is>
          <t>MENS</t>
        </is>
      </c>
      <c r="H243" s="0" t="inlineStr">
        <is>
          <t>M</t>
        </is>
      </c>
      <c r="I243" s="0">
        <v>59.99</v>
      </c>
      <c r="J243" s="0">
        <v>9</v>
      </c>
    </row>
    <row r="244" spans="1:10" customHeight="0">
      <c r="A244" s="0">
        <f>HYPERLINK("https://dl.dropboxusercontent.com/scl/fi/33xz9dpnyf698w0dvnhm9/adair-126818-f.jpg?rlkey=5ik9p8p7yvj8y4p4ctl6c9tqp&amp;dl=0","Click to download Image")</f>
      </c>
      <c r="B244" s="0">
        <f>HYPERLINK("https://dl.dropboxusercontent.com/scl/fi/l2i6p1x3b36yvwnw08lve/mens-jackets-size-chartsadair.jpg?rlkey=acuw8ci4wvsc0mjvc8kh3aa63&amp;dl=0","Click to download SizeChart")</f>
      </c>
      <c r="C244" s="0" t="inlineStr">
        <is>
          <t>Adair Men's Vest</t>
        </is>
      </c>
      <c r="D244" s="1">
        <v>126818</v>
      </c>
      <c r="E244" s="0" t="inlineStr">
        <is>
          <t>IOWA ADAIR M BK:126818C-L</t>
        </is>
      </c>
      <c r="F244" s="2">
        <v>800126818066</v>
      </c>
      <c r="G244" s="0" t="inlineStr">
        <is>
          <t>MENS</t>
        </is>
      </c>
      <c r="H244" s="0" t="inlineStr">
        <is>
          <t>L</t>
        </is>
      </c>
      <c r="I244" s="0">
        <v>59.99</v>
      </c>
      <c r="J244" s="0">
        <v>15</v>
      </c>
    </row>
    <row r="245" spans="1:10" customHeight="0">
      <c r="A245" s="0">
        <f>HYPERLINK("https://dl.dropboxusercontent.com/scl/fi/33xz9dpnyf698w0dvnhm9/adair-126818-f.jpg?rlkey=5ik9p8p7yvj8y4p4ctl6c9tqp&amp;dl=0","Click to download Image")</f>
      </c>
      <c r="B245" s="0">
        <f>HYPERLINK("https://dl.dropboxusercontent.com/scl/fi/l2i6p1x3b36yvwnw08lve/mens-jackets-size-chartsadair.jpg?rlkey=acuw8ci4wvsc0mjvc8kh3aa63&amp;dl=0","Click to download SizeChart")</f>
      </c>
      <c r="C245" s="0" t="inlineStr">
        <is>
          <t>Adair Men's Vest</t>
        </is>
      </c>
      <c r="D245" s="1">
        <v>126818</v>
      </c>
      <c r="E245" s="0" t="inlineStr">
        <is>
          <t>IOWA ADAIR M BK:126818D-XL</t>
        </is>
      </c>
      <c r="F245" s="2">
        <v>800126818073</v>
      </c>
      <c r="G245" s="0" t="inlineStr">
        <is>
          <t>MENS</t>
        </is>
      </c>
      <c r="H245" s="0" t="inlineStr">
        <is>
          <t>XL</t>
        </is>
      </c>
      <c r="I245" s="0">
        <v>59.99</v>
      </c>
      <c r="J245" s="0">
        <v>13</v>
      </c>
    </row>
    <row r="246" spans="1:10" customHeight="0">
      <c r="A246" s="0">
        <f>HYPERLINK("https://dl.dropboxusercontent.com/scl/fi/33xz9dpnyf698w0dvnhm9/adair-126818-f.jpg?rlkey=5ik9p8p7yvj8y4p4ctl6c9tqp&amp;dl=0","Click to download Image")</f>
      </c>
      <c r="B246" s="0">
        <f>HYPERLINK("https://dl.dropboxusercontent.com/scl/fi/l2i6p1x3b36yvwnw08lve/mens-jackets-size-chartsadair.jpg?rlkey=acuw8ci4wvsc0mjvc8kh3aa63&amp;dl=0","Click to download SizeChart")</f>
      </c>
      <c r="C246" s="0" t="inlineStr">
        <is>
          <t>Adair Men's Vest</t>
        </is>
      </c>
      <c r="D246" s="1">
        <v>126818</v>
      </c>
      <c r="E246" s="0" t="inlineStr">
        <is>
          <t>IOWA ADAIR M BK:126818E-2XL</t>
        </is>
      </c>
      <c r="F246" s="2">
        <v>800126818080</v>
      </c>
      <c r="G246" s="0" t="inlineStr">
        <is>
          <t>MENS</t>
        </is>
      </c>
      <c r="H246" s="0" t="inlineStr">
        <is>
          <t>2XL</t>
        </is>
      </c>
      <c r="I246" s="0">
        <v>59.99</v>
      </c>
      <c r="J246" s="0">
        <v>14</v>
      </c>
    </row>
    <row r="247" spans="1:10" customHeight="0">
      <c r="A247" s="0">
        <f>HYPERLINK("https://dl.dropboxusercontent.com/scl/fi/33xz9dpnyf698w0dvnhm9/adair-126818-f.jpg?rlkey=5ik9p8p7yvj8y4p4ctl6c9tqp&amp;dl=0","Click to download Image")</f>
      </c>
      <c r="B247" s="0">
        <f>HYPERLINK("https://dl.dropboxusercontent.com/scl/fi/l2i6p1x3b36yvwnw08lve/mens-jackets-size-chartsadair.jpg?rlkey=acuw8ci4wvsc0mjvc8kh3aa63&amp;dl=0","Click to download SizeChart")</f>
      </c>
      <c r="C247" s="0" t="inlineStr">
        <is>
          <t>Adair Men's Vest</t>
        </is>
      </c>
      <c r="D247" s="1">
        <v>126818</v>
      </c>
      <c r="E247" s="0" t="inlineStr">
        <is>
          <t>IOWA ADAIR M BK:126818F-3XL</t>
        </is>
      </c>
      <c r="F247" s="2">
        <v>800126818097</v>
      </c>
      <c r="G247" s="0" t="inlineStr">
        <is>
          <t>MENS</t>
        </is>
      </c>
      <c r="H247" s="0" t="inlineStr">
        <is>
          <t>3XL</t>
        </is>
      </c>
      <c r="I247" s="0">
        <v>59.99</v>
      </c>
      <c r="J247" s="0">
        <v>6</v>
      </c>
    </row>
    <row r="248" spans="1:10" customHeight="0">
      <c r="A248" s="0">
        <f>HYPERLINK("https://dl.dropboxusercontent.com/scl/fi/33xz9dpnyf698w0dvnhm9/adair-126818-f.jpg?rlkey=5ik9p8p7yvj8y4p4ctl6c9tqp&amp;dl=0","Click to download Image")</f>
      </c>
      <c r="B248" s="0">
        <f>HYPERLINK("https://dl.dropboxusercontent.com/scl/fi/l2i6p1x3b36yvwnw08lve/mens-jackets-size-chartsadair.jpg?rlkey=acuw8ci4wvsc0mjvc8kh3aa63&amp;dl=0","Click to download SizeChart")</f>
      </c>
      <c r="C248" s="0" t="inlineStr">
        <is>
          <t>Adair Men's Vest</t>
        </is>
      </c>
      <c r="D248" s="1">
        <v>126818</v>
      </c>
      <c r="E248" s="0" t="inlineStr">
        <is>
          <t>IOWA ADAIR M BK 12PK:126818Z-12PK</t>
        </is>
      </c>
      <c r="F248" s="2">
        <v>800126818998</v>
      </c>
      <c r="G248" s="0" t="inlineStr">
        <is>
          <t>MENS</t>
        </is>
      </c>
      <c r="H248" s="0" t="inlineStr">
        <is>
          <t>12 PACK</t>
        </is>
      </c>
      <c r="I248" s="0">
        <v>582</v>
      </c>
      <c r="J248" s="0">
        <v>0</v>
      </c>
    </row>
    <row r="249" spans="1:10" customHeight="0">
      <c r="A249" s="0">
        <f>HYPERLINK("https://dl.dropboxusercontent.com/scl/fi/dwjnkk1jvqkkvwzmfeenx/129796-f.jpg?rlkey=3139ruvw98wtlj65dfxc0qd43&amp;dl=0","Click to download Image")</f>
      </c>
      <c r="C249" s="0" t="inlineStr">
        <is>
          <t>Audra Women's T-shirt</t>
        </is>
      </c>
      <c r="D249" s="1">
        <v>129796</v>
      </c>
      <c r="E249" s="0" t="inlineStr">
        <is>
          <t>IOWA AUDRA W WE:129796A-S</t>
        </is>
      </c>
      <c r="F249" s="2">
        <v>800129796040</v>
      </c>
      <c r="G249" s="0" t="inlineStr">
        <is>
          <t>WOMENS</t>
        </is>
      </c>
      <c r="H249" s="0" t="inlineStr">
        <is>
          <t>S</t>
        </is>
      </c>
      <c r="I249" s="0">
        <v>34.99</v>
      </c>
      <c r="J249" s="0">
        <v>0</v>
      </c>
    </row>
    <row r="250" spans="1:10" customHeight="0">
      <c r="A250" s="0">
        <f>HYPERLINK("https://dl.dropboxusercontent.com/scl/fi/dwjnkk1jvqkkvwzmfeenx/129796-f.jpg?rlkey=3139ruvw98wtlj65dfxc0qd43&amp;dl=0","Click to download Image")</f>
      </c>
      <c r="C250" s="0" t="inlineStr">
        <is>
          <t>Audra Women's T-shirt</t>
        </is>
      </c>
      <c r="D250" s="1">
        <v>129796</v>
      </c>
      <c r="E250" s="0" t="inlineStr">
        <is>
          <t>IOWA AUDRA W WE:129796B-M</t>
        </is>
      </c>
      <c r="F250" s="2">
        <v>800129796057</v>
      </c>
      <c r="G250" s="0" t="inlineStr">
        <is>
          <t>WOMENS</t>
        </is>
      </c>
      <c r="H250" s="0" t="inlineStr">
        <is>
          <t>M</t>
        </is>
      </c>
      <c r="I250" s="0">
        <v>34.99</v>
      </c>
      <c r="J250" s="0">
        <v>0</v>
      </c>
    </row>
    <row r="251" spans="1:10" customHeight="0">
      <c r="A251" s="0">
        <f>HYPERLINK("https://dl.dropboxusercontent.com/scl/fi/dwjnkk1jvqkkvwzmfeenx/129796-f.jpg?rlkey=3139ruvw98wtlj65dfxc0qd43&amp;dl=0","Click to download Image")</f>
      </c>
      <c r="C251" s="0" t="inlineStr">
        <is>
          <t>Audra Women's T-shirt</t>
        </is>
      </c>
      <c r="D251" s="1">
        <v>129796</v>
      </c>
      <c r="E251" s="0" t="inlineStr">
        <is>
          <t>IOWA AUDRA W WE:129796C-L</t>
        </is>
      </c>
      <c r="F251" s="2">
        <v>800129796064</v>
      </c>
      <c r="G251" s="0" t="inlineStr">
        <is>
          <t>WOMENS</t>
        </is>
      </c>
      <c r="H251" s="0" t="inlineStr">
        <is>
          <t>L</t>
        </is>
      </c>
      <c r="I251" s="0">
        <v>34.99</v>
      </c>
      <c r="J251" s="0">
        <v>0</v>
      </c>
    </row>
    <row r="252" spans="1:10" customHeight="0">
      <c r="A252" s="0">
        <f>HYPERLINK("https://dl.dropboxusercontent.com/scl/fi/dwjnkk1jvqkkvwzmfeenx/129796-f.jpg?rlkey=3139ruvw98wtlj65dfxc0qd43&amp;dl=0","Click to download Image")</f>
      </c>
      <c r="C252" s="0" t="inlineStr">
        <is>
          <t>Audra Women's T-shirt</t>
        </is>
      </c>
      <c r="D252" s="1">
        <v>129796</v>
      </c>
      <c r="E252" s="0" t="inlineStr">
        <is>
          <t>IOWA AUDRA W WE:129796D-XL</t>
        </is>
      </c>
      <c r="F252" s="2">
        <v>800129796071</v>
      </c>
      <c r="G252" s="0" t="inlineStr">
        <is>
          <t>WOMENS</t>
        </is>
      </c>
      <c r="H252" s="0" t="inlineStr">
        <is>
          <t>XL</t>
        </is>
      </c>
      <c r="I252" s="0">
        <v>34.99</v>
      </c>
      <c r="J252" s="0">
        <v>0</v>
      </c>
    </row>
    <row r="253" spans="1:10" customHeight="0">
      <c r="A253" s="0">
        <f>HYPERLINK("https://dl.dropboxusercontent.com/scl/fi/dwjnkk1jvqkkvwzmfeenx/129796-f.jpg?rlkey=3139ruvw98wtlj65dfxc0qd43&amp;dl=0","Click to download Image")</f>
      </c>
      <c r="C253" s="0" t="inlineStr">
        <is>
          <t>Audra Women's T-shirt</t>
        </is>
      </c>
      <c r="D253" s="1">
        <v>129796</v>
      </c>
      <c r="E253" s="0" t="inlineStr">
        <is>
          <t>IOWA AUDRA W WE:129796E-2XL</t>
        </is>
      </c>
      <c r="F253" s="2">
        <v>800129796088</v>
      </c>
      <c r="G253" s="0" t="inlineStr">
        <is>
          <t>WOMENS</t>
        </is>
      </c>
      <c r="H253" s="0" t="inlineStr">
        <is>
          <t>2XL</t>
        </is>
      </c>
      <c r="I253" s="0">
        <v>34.99</v>
      </c>
      <c r="J253" s="0">
        <v>0</v>
      </c>
    </row>
    <row r="254" spans="1:10" customHeight="0">
      <c r="A254" s="0">
        <f>HYPERLINK("https://dl.dropboxusercontent.com/scl/fi/dwjnkk1jvqkkvwzmfeenx/129796-f.jpg?rlkey=3139ruvw98wtlj65dfxc0qd43&amp;dl=0","Click to download Image")</f>
      </c>
      <c r="C254" s="0" t="inlineStr">
        <is>
          <t>Audra Women's T-shirt</t>
        </is>
      </c>
      <c r="D254" s="1">
        <v>129796</v>
      </c>
      <c r="E254" s="0" t="inlineStr">
        <is>
          <t>IOWA AUDRA W WE:129796F-3XL</t>
        </is>
      </c>
      <c r="F254" s="2">
        <v>800129796095</v>
      </c>
      <c r="G254" s="0" t="inlineStr">
        <is>
          <t>WOMENS</t>
        </is>
      </c>
      <c r="H254" s="0" t="inlineStr">
        <is>
          <t>3XL</t>
        </is>
      </c>
      <c r="I254" s="0">
        <v>34.99</v>
      </c>
      <c r="J254" s="0">
        <v>3</v>
      </c>
    </row>
    <row r="255" spans="1:10" customHeight="0">
      <c r="A255" s="0">
        <f>HYPERLINK("https://dl.dropboxusercontent.com/scl/fi/dwjnkk1jvqkkvwzmfeenx/129796-f.jpg?rlkey=3139ruvw98wtlj65dfxc0qd43&amp;dl=0","Click to download Image")</f>
      </c>
      <c r="C255" s="0" t="inlineStr">
        <is>
          <t>Audra Women's T-shirt</t>
        </is>
      </c>
      <c r="D255" s="1">
        <v>129796</v>
      </c>
      <c r="E255" s="0" t="inlineStr">
        <is>
          <t>IOWA AUDRA W WE 12PK:129796Z-12PK</t>
        </is>
      </c>
      <c r="F255" s="2">
        <v>800129796996</v>
      </c>
      <c r="G255" s="0" t="inlineStr">
        <is>
          <t>WOMENS</t>
        </is>
      </c>
      <c r="H255" s="0" t="inlineStr">
        <is>
          <t>12 PACK</t>
        </is>
      </c>
      <c r="I255" s="0">
        <v>336</v>
      </c>
      <c r="J255" s="0">
        <v>0</v>
      </c>
    </row>
    <row r="256" spans="1:10" customHeight="0">
      <c r="A256" s="0">
        <f>HYPERLINK("https://dl.dropboxusercontent.com/scl/fi/8p9y4q5uhsgxxzxvimqon/124898-f.jpg?rlkey=f2ufkkas6gqxscgbdq099b1uz&amp;dl=0","Click to download Image")</f>
      </c>
      <c r="C256" s="0" t="inlineStr">
        <is>
          <t>Brin Women's T-shirt</t>
        </is>
      </c>
      <c r="D256" s="1">
        <v>124898</v>
      </c>
      <c r="E256" s="0" t="inlineStr">
        <is>
          <t>IOWA BRIN W GY:124898A-S</t>
        </is>
      </c>
      <c r="F256" s="2">
        <v>800124898046</v>
      </c>
      <c r="G256" s="0" t="inlineStr">
        <is>
          <t>WOMENS</t>
        </is>
      </c>
      <c r="H256" s="0" t="inlineStr">
        <is>
          <t>S</t>
        </is>
      </c>
      <c r="I256" s="0">
        <v>29.99</v>
      </c>
      <c r="J256" s="0">
        <v>0</v>
      </c>
    </row>
    <row r="257" spans="1:10" customHeight="0">
      <c r="A257" s="0">
        <f>HYPERLINK("https://dl.dropboxusercontent.com/scl/fi/8p9y4q5uhsgxxzxvimqon/124898-f.jpg?rlkey=f2ufkkas6gqxscgbdq099b1uz&amp;dl=0","Click to download Image")</f>
      </c>
      <c r="C257" s="0" t="inlineStr">
        <is>
          <t>Brin Women's T-shirt</t>
        </is>
      </c>
      <c r="D257" s="1">
        <v>124898</v>
      </c>
      <c r="E257" s="0" t="inlineStr">
        <is>
          <t>IOWA BRIN W GY:124898B-M</t>
        </is>
      </c>
      <c r="F257" s="2">
        <v>800124898053</v>
      </c>
      <c r="G257" s="0" t="inlineStr">
        <is>
          <t>WOMENS</t>
        </is>
      </c>
      <c r="H257" s="0" t="inlineStr">
        <is>
          <t>M</t>
        </is>
      </c>
      <c r="I257" s="0">
        <v>29.99</v>
      </c>
      <c r="J257" s="0">
        <v>15</v>
      </c>
    </row>
    <row r="258" spans="1:10" customHeight="0">
      <c r="A258" s="0">
        <f>HYPERLINK("https://dl.dropboxusercontent.com/scl/fi/8p9y4q5uhsgxxzxvimqon/124898-f.jpg?rlkey=f2ufkkas6gqxscgbdq099b1uz&amp;dl=0","Click to download Image")</f>
      </c>
      <c r="C258" s="0" t="inlineStr">
        <is>
          <t>Brin Women's T-shirt</t>
        </is>
      </c>
      <c r="D258" s="1">
        <v>124898</v>
      </c>
      <c r="E258" s="0" t="inlineStr">
        <is>
          <t>IOWA BRIN W GY:124898C-L</t>
        </is>
      </c>
      <c r="F258" s="2">
        <v>800124898060</v>
      </c>
      <c r="G258" s="0" t="inlineStr">
        <is>
          <t>WOMENS</t>
        </is>
      </c>
      <c r="H258" s="0" t="inlineStr">
        <is>
          <t>L</t>
        </is>
      </c>
      <c r="I258" s="0">
        <v>29.99</v>
      </c>
      <c r="J258" s="0">
        <v>15</v>
      </c>
    </row>
    <row r="259" spans="1:10" customHeight="0">
      <c r="A259" s="0">
        <f>HYPERLINK("https://dl.dropboxusercontent.com/scl/fi/8p9y4q5uhsgxxzxvimqon/124898-f.jpg?rlkey=f2ufkkas6gqxscgbdq099b1uz&amp;dl=0","Click to download Image")</f>
      </c>
      <c r="C259" s="0" t="inlineStr">
        <is>
          <t>Brin Women's T-shirt</t>
        </is>
      </c>
      <c r="D259" s="1">
        <v>124898</v>
      </c>
      <c r="E259" s="0" t="inlineStr">
        <is>
          <t>IOWA BRIN W GY:124898D-XL</t>
        </is>
      </c>
      <c r="F259" s="2">
        <v>800124898077</v>
      </c>
      <c r="G259" s="0" t="inlineStr">
        <is>
          <t>WOMENS</t>
        </is>
      </c>
      <c r="H259" s="0" t="inlineStr">
        <is>
          <t>XL</t>
        </is>
      </c>
      <c r="I259" s="0">
        <v>29.99</v>
      </c>
      <c r="J259" s="0">
        <v>0</v>
      </c>
    </row>
    <row r="260" spans="1:10" customHeight="0">
      <c r="A260" s="0">
        <f>HYPERLINK("https://dl.dropboxusercontent.com/scl/fi/8p9y4q5uhsgxxzxvimqon/124898-f.jpg?rlkey=f2ufkkas6gqxscgbdq099b1uz&amp;dl=0","Click to download Image")</f>
      </c>
      <c r="C260" s="0" t="inlineStr">
        <is>
          <t>Brin Women's T-shirt</t>
        </is>
      </c>
      <c r="D260" s="1">
        <v>124898</v>
      </c>
      <c r="E260" s="0" t="inlineStr">
        <is>
          <t>IOWA BRIN W GY:124898E-2XL</t>
        </is>
      </c>
      <c r="F260" s="2">
        <v>800124898084</v>
      </c>
      <c r="G260" s="0" t="inlineStr">
        <is>
          <t>WOMENS</t>
        </is>
      </c>
      <c r="H260" s="0" t="inlineStr">
        <is>
          <t>2XL</t>
        </is>
      </c>
      <c r="I260" s="0">
        <v>29.99</v>
      </c>
      <c r="J260" s="0">
        <v>0</v>
      </c>
    </row>
    <row r="261" spans="1:10" customHeight="0">
      <c r="A261" s="0">
        <f>HYPERLINK("https://dl.dropboxusercontent.com/scl/fi/8p9y4q5uhsgxxzxvimqon/124898-f.jpg?rlkey=f2ufkkas6gqxscgbdq099b1uz&amp;dl=0","Click to download Image")</f>
      </c>
      <c r="C261" s="0" t="inlineStr">
        <is>
          <t>Brin Women's T-shirt</t>
        </is>
      </c>
      <c r="D261" s="1">
        <v>124898</v>
      </c>
      <c r="E261" s="0" t="inlineStr">
        <is>
          <t>IOWA BRIN W GY:124898F-3XL</t>
        </is>
      </c>
      <c r="F261" s="2">
        <v>800124898091</v>
      </c>
      <c r="G261" s="0" t="inlineStr">
        <is>
          <t>WOMENS</t>
        </is>
      </c>
      <c r="H261" s="0" t="inlineStr">
        <is>
          <t>3XL</t>
        </is>
      </c>
      <c r="I261" s="0">
        <v>29.99</v>
      </c>
      <c r="J261" s="0">
        <v>10</v>
      </c>
    </row>
    <row r="262" spans="1:10" customHeight="0">
      <c r="A262" s="0">
        <f>HYPERLINK("https://dl.dropboxusercontent.com/scl/fi/8p9y4q5uhsgxxzxvimqon/124898-f.jpg?rlkey=f2ufkkas6gqxscgbdq099b1uz&amp;dl=0","Click to download Image")</f>
      </c>
      <c r="C262" s="0" t="inlineStr">
        <is>
          <t>Brin Women's T-shirt</t>
        </is>
      </c>
      <c r="D262" s="1">
        <v>124898</v>
      </c>
      <c r="E262" s="0" t="inlineStr">
        <is>
          <t>IOWA BRIN W GY 12PK:124898Z-12PK</t>
        </is>
      </c>
      <c r="F262" s="2">
        <v>800124898992</v>
      </c>
      <c r="G262" s="0" t="inlineStr">
        <is>
          <t>WOMENS</t>
        </is>
      </c>
      <c r="H262" s="0" t="inlineStr">
        <is>
          <t>12 PACK</t>
        </is>
      </c>
      <c r="I262" s="0">
        <v>288</v>
      </c>
      <c r="J262" s="0">
        <v>0</v>
      </c>
    </row>
    <row r="263" spans="1:10" customHeight="0">
      <c r="A263" s="0">
        <f>HYPERLINK("https://dl.dropboxusercontent.com/scl/fi/npwv7sd3ohuz8xeuxuvhz/128935-f.jpg?rlkey=d69oo7otwvtbtvfsdle0e22ig&amp;dl=0","Click to download Image")</f>
      </c>
      <c r="B263" s="0">
        <f>HYPERLINK("https://dl.dropboxusercontent.com/scl/fi/1oy1h0me1ur9lbnqultfn/womens-size-chartsbenita.jpg?rlkey=wz6a08zkkmkvma14fn2xo5tgw&amp;dl=0","Click to download SizeChart")</f>
      </c>
      <c r="C263" s="0" t="inlineStr">
        <is>
          <t>Benita Women's Jacket</t>
        </is>
      </c>
      <c r="D263" s="1">
        <v>128935</v>
      </c>
      <c r="E263" s="0" t="inlineStr">
        <is>
          <t>IOWA BENITA W BC:128935A-S</t>
        </is>
      </c>
      <c r="F263" s="2">
        <v>800128935044</v>
      </c>
      <c r="G263" s="0" t="inlineStr">
        <is>
          <t>WOMENS</t>
        </is>
      </c>
      <c r="H263" s="0" t="inlineStr">
        <is>
          <t>S</t>
        </is>
      </c>
      <c r="I263" s="0">
        <v>89.99</v>
      </c>
      <c r="J263" s="0">
        <v>11</v>
      </c>
    </row>
    <row r="264" spans="1:10" customHeight="0">
      <c r="A264" s="0">
        <f>HYPERLINK("https://dl.dropboxusercontent.com/scl/fi/npwv7sd3ohuz8xeuxuvhz/128935-f.jpg?rlkey=d69oo7otwvtbtvfsdle0e22ig&amp;dl=0","Click to download Image")</f>
      </c>
      <c r="B264" s="0">
        <f>HYPERLINK("https://dl.dropboxusercontent.com/scl/fi/1oy1h0me1ur9lbnqultfn/womens-size-chartsbenita.jpg?rlkey=wz6a08zkkmkvma14fn2xo5tgw&amp;dl=0","Click to download SizeChart")</f>
      </c>
      <c r="C264" s="0" t="inlineStr">
        <is>
          <t>Benita Women's Jacket</t>
        </is>
      </c>
      <c r="D264" s="1">
        <v>128935</v>
      </c>
      <c r="E264" s="0" t="inlineStr">
        <is>
          <t>IOWA BENITA W BC:128935B-M</t>
        </is>
      </c>
      <c r="F264" s="2">
        <v>800128935051</v>
      </c>
      <c r="G264" s="0" t="inlineStr">
        <is>
          <t>WOMENS</t>
        </is>
      </c>
      <c r="H264" s="0" t="inlineStr">
        <is>
          <t>M</t>
        </is>
      </c>
      <c r="I264" s="0">
        <v>89.99</v>
      </c>
      <c r="J264" s="0">
        <v>30</v>
      </c>
    </row>
    <row r="265" spans="1:10" customHeight="0">
      <c r="A265" s="0">
        <f>HYPERLINK("https://dl.dropboxusercontent.com/scl/fi/npwv7sd3ohuz8xeuxuvhz/128935-f.jpg?rlkey=d69oo7otwvtbtvfsdle0e22ig&amp;dl=0","Click to download Image")</f>
      </c>
      <c r="B265" s="0">
        <f>HYPERLINK("https://dl.dropboxusercontent.com/scl/fi/1oy1h0me1ur9lbnqultfn/womens-size-chartsbenita.jpg?rlkey=wz6a08zkkmkvma14fn2xo5tgw&amp;dl=0","Click to download SizeChart")</f>
      </c>
      <c r="C265" s="0" t="inlineStr">
        <is>
          <t>Benita Women's Jacket</t>
        </is>
      </c>
      <c r="D265" s="1">
        <v>128935</v>
      </c>
      <c r="E265" s="0" t="inlineStr">
        <is>
          <t>IOWA BENITA W BC:128935C-L</t>
        </is>
      </c>
      <c r="F265" s="2">
        <v>800128935068</v>
      </c>
      <c r="G265" s="0" t="inlineStr">
        <is>
          <t>WOMENS</t>
        </is>
      </c>
      <c r="H265" s="0" t="inlineStr">
        <is>
          <t>L</t>
        </is>
      </c>
      <c r="I265" s="0">
        <v>89.99</v>
      </c>
      <c r="J265" s="0">
        <v>22</v>
      </c>
    </row>
    <row r="266" spans="1:10" customHeight="0">
      <c r="A266" s="0">
        <f>HYPERLINK("https://dl.dropboxusercontent.com/scl/fi/npwv7sd3ohuz8xeuxuvhz/128935-f.jpg?rlkey=d69oo7otwvtbtvfsdle0e22ig&amp;dl=0","Click to download Image")</f>
      </c>
      <c r="B266" s="0">
        <f>HYPERLINK("https://dl.dropboxusercontent.com/scl/fi/1oy1h0me1ur9lbnqultfn/womens-size-chartsbenita.jpg?rlkey=wz6a08zkkmkvma14fn2xo5tgw&amp;dl=0","Click to download SizeChart")</f>
      </c>
      <c r="C266" s="0" t="inlineStr">
        <is>
          <t>Benita Women's Jacket</t>
        </is>
      </c>
      <c r="D266" s="1">
        <v>128935</v>
      </c>
      <c r="E266" s="0" t="inlineStr">
        <is>
          <t>IOWA BENITA W BC:128935D-XL</t>
        </is>
      </c>
      <c r="F266" s="2">
        <v>800128935075</v>
      </c>
      <c r="G266" s="0" t="inlineStr">
        <is>
          <t>WOMENS</t>
        </is>
      </c>
      <c r="H266" s="0" t="inlineStr">
        <is>
          <t>XL</t>
        </is>
      </c>
      <c r="I266" s="0">
        <v>89.99</v>
      </c>
      <c r="J266" s="0">
        <v>6</v>
      </c>
    </row>
    <row r="267" spans="1:10" customHeight="0">
      <c r="A267" s="0">
        <f>HYPERLINK("https://dl.dropboxusercontent.com/scl/fi/npwv7sd3ohuz8xeuxuvhz/128935-f.jpg?rlkey=d69oo7otwvtbtvfsdle0e22ig&amp;dl=0","Click to download Image")</f>
      </c>
      <c r="B267" s="0">
        <f>HYPERLINK("https://dl.dropboxusercontent.com/scl/fi/1oy1h0me1ur9lbnqultfn/womens-size-chartsbenita.jpg?rlkey=wz6a08zkkmkvma14fn2xo5tgw&amp;dl=0","Click to download SizeChart")</f>
      </c>
      <c r="C267" s="0" t="inlineStr">
        <is>
          <t>Benita Women's Jacket</t>
        </is>
      </c>
      <c r="D267" s="1">
        <v>128935</v>
      </c>
      <c r="E267" s="0" t="inlineStr">
        <is>
          <t>IOWA BENITA W BC:128935E-2XL</t>
        </is>
      </c>
      <c r="F267" s="2">
        <v>800128935082</v>
      </c>
      <c r="G267" s="0" t="inlineStr">
        <is>
          <t>WOMENS</t>
        </is>
      </c>
      <c r="H267" s="0" t="inlineStr">
        <is>
          <t>2XL</t>
        </is>
      </c>
      <c r="I267" s="0">
        <v>89.99</v>
      </c>
      <c r="J267" s="0">
        <v>3</v>
      </c>
    </row>
    <row r="268" spans="1:10" customHeight="0">
      <c r="A268" s="0">
        <f>HYPERLINK("https://dl.dropboxusercontent.com/scl/fi/npwv7sd3ohuz8xeuxuvhz/128935-f.jpg?rlkey=d69oo7otwvtbtvfsdle0e22ig&amp;dl=0","Click to download Image")</f>
      </c>
      <c r="B268" s="0">
        <f>HYPERLINK("https://dl.dropboxusercontent.com/scl/fi/1oy1h0me1ur9lbnqultfn/womens-size-chartsbenita.jpg?rlkey=wz6a08zkkmkvma14fn2xo5tgw&amp;dl=0","Click to download SizeChart")</f>
      </c>
      <c r="C268" s="0" t="inlineStr">
        <is>
          <t>Benita Women's Jacket</t>
        </is>
      </c>
      <c r="D268" s="1">
        <v>128935</v>
      </c>
      <c r="E268" s="0" t="inlineStr">
        <is>
          <t>IOWA BENITA W BC:128935F-3XL</t>
        </is>
      </c>
      <c r="F268" s="2">
        <v>800128935099</v>
      </c>
      <c r="G268" s="0" t="inlineStr">
        <is>
          <t>WOMENS</t>
        </is>
      </c>
      <c r="H268" s="0" t="inlineStr">
        <is>
          <t>3XL</t>
        </is>
      </c>
      <c r="I268" s="0">
        <v>89.99</v>
      </c>
      <c r="J268" s="0">
        <v>0</v>
      </c>
    </row>
    <row r="269" spans="1:10" customHeight="0">
      <c r="A269" s="0">
        <f>HYPERLINK("https://dl.dropboxusercontent.com/scl/fi/npwv7sd3ohuz8xeuxuvhz/128935-f.jpg?rlkey=d69oo7otwvtbtvfsdle0e22ig&amp;dl=0","Click to download Image")</f>
      </c>
      <c r="B269" s="0">
        <f>HYPERLINK("https://dl.dropboxusercontent.com/scl/fi/1oy1h0me1ur9lbnqultfn/womens-size-chartsbenita.jpg?rlkey=wz6a08zkkmkvma14fn2xo5tgw&amp;dl=0","Click to download SizeChart")</f>
      </c>
      <c r="C269" s="0" t="inlineStr">
        <is>
          <t>Benita Women's Jacket</t>
        </is>
      </c>
      <c r="D269" s="1">
        <v>128935</v>
      </c>
      <c r="E269" s="0" t="inlineStr">
        <is>
          <t>IOWA BENITA W BC 12PK:128935Z-12PK</t>
        </is>
      </c>
      <c r="F269" s="2">
        <v>800128935990</v>
      </c>
      <c r="G269" s="0" t="inlineStr">
        <is>
          <t>WOMENS</t>
        </is>
      </c>
      <c r="H269" s="0" t="inlineStr">
        <is>
          <t>12 PACK</t>
        </is>
      </c>
      <c r="I269" s="0">
        <v>864</v>
      </c>
      <c r="J269" s="0">
        <v>0</v>
      </c>
    </row>
    <row r="270" spans="1:10" customHeight="0">
      <c r="A270" s="0">
        <f>HYPERLINK("https://dl.dropboxusercontent.com/scl/fi/jfqmvzaorimc1jlr9aimf/cailin-128975-f.jpg?rlkey=9danrq2148ohs6nlki6nuhjgo&amp;dl=0","Click to download Image")</f>
      </c>
      <c r="C270" s="0" t="inlineStr">
        <is>
          <t>Cailin Infant Bodysuit</t>
        </is>
      </c>
      <c r="D270" s="1">
        <v>128975</v>
      </c>
      <c r="E270" s="0" t="inlineStr">
        <is>
          <t>IOWA CAILIN I BK:128975A-0-3M</t>
        </is>
      </c>
      <c r="F270" s="2">
        <v>800128975002</v>
      </c>
      <c r="G270" s="0" t="inlineStr">
        <is>
          <t>INFANT</t>
        </is>
      </c>
      <c r="H270" s="0" t="inlineStr">
        <is>
          <t>0-3M</t>
        </is>
      </c>
      <c r="I270" s="0">
        <v>24.99</v>
      </c>
      <c r="J270" s="0">
        <v>10</v>
      </c>
    </row>
    <row r="271" spans="1:10" customHeight="0">
      <c r="A271" s="0">
        <f>HYPERLINK("https://dl.dropboxusercontent.com/scl/fi/jfqmvzaorimc1jlr9aimf/cailin-128975-f.jpg?rlkey=9danrq2148ohs6nlki6nuhjgo&amp;dl=0","Click to download Image")</f>
      </c>
      <c r="C271" s="0" t="inlineStr">
        <is>
          <t>Cailin Infant Bodysuit</t>
        </is>
      </c>
      <c r="D271" s="1">
        <v>128975</v>
      </c>
      <c r="E271" s="0" t="inlineStr">
        <is>
          <t>IOWA CAILIN I BK:128975B-3-6M</t>
        </is>
      </c>
      <c r="F271" s="2">
        <v>800128975019</v>
      </c>
      <c r="G271" s="0" t="inlineStr">
        <is>
          <t>INFANT</t>
        </is>
      </c>
      <c r="H271" s="0" t="inlineStr">
        <is>
          <t>3-6M</t>
        </is>
      </c>
      <c r="I271" s="0">
        <v>24.99</v>
      </c>
      <c r="J271" s="0">
        <v>7</v>
      </c>
    </row>
    <row r="272" spans="1:10" customHeight="0">
      <c r="A272" s="0">
        <f>HYPERLINK("https://dl.dropboxusercontent.com/scl/fi/jfqmvzaorimc1jlr9aimf/cailin-128975-f.jpg?rlkey=9danrq2148ohs6nlki6nuhjgo&amp;dl=0","Click to download Image")</f>
      </c>
      <c r="C272" s="0" t="inlineStr">
        <is>
          <t>Cailin Infant Bodysuit</t>
        </is>
      </c>
      <c r="D272" s="1">
        <v>128975</v>
      </c>
      <c r="E272" s="0" t="inlineStr">
        <is>
          <t>IOWA CAILIN I BK:128975C-6-9M</t>
        </is>
      </c>
      <c r="F272" s="2">
        <v>800128975026</v>
      </c>
      <c r="G272" s="0" t="inlineStr">
        <is>
          <t>INFANT</t>
        </is>
      </c>
      <c r="H272" s="0" t="inlineStr">
        <is>
          <t>6-9M</t>
        </is>
      </c>
      <c r="I272" s="0">
        <v>24.99</v>
      </c>
      <c r="J272" s="0">
        <v>6</v>
      </c>
    </row>
    <row r="273" spans="1:10" customHeight="0">
      <c r="A273" s="0">
        <f>HYPERLINK("https://dl.dropboxusercontent.com/scl/fi/jfqmvzaorimc1jlr9aimf/cailin-128975-f.jpg?rlkey=9danrq2148ohs6nlki6nuhjgo&amp;dl=0","Click to download Image")</f>
      </c>
      <c r="C273" s="0" t="inlineStr">
        <is>
          <t>Cailin Infant Bodysuit</t>
        </is>
      </c>
      <c r="D273" s="1">
        <v>128975</v>
      </c>
      <c r="E273" s="0" t="inlineStr">
        <is>
          <t>IOWA CAILIN I BK:128975F-12M</t>
        </is>
      </c>
      <c r="F273" s="2">
        <v>800128975033</v>
      </c>
      <c r="G273" s="0" t="inlineStr">
        <is>
          <t>INFANT</t>
        </is>
      </c>
      <c r="H273" s="0" t="inlineStr">
        <is>
          <t>12M</t>
        </is>
      </c>
      <c r="I273" s="0">
        <v>24.99</v>
      </c>
      <c r="J273" s="0">
        <v>6</v>
      </c>
    </row>
    <row r="274" spans="1:10" customHeight="0">
      <c r="A274" s="0">
        <f>HYPERLINK("https://dl.dropboxusercontent.com/scl/fi/jfqmvzaorimc1jlr9aimf/cailin-128975-f.jpg?rlkey=9danrq2148ohs6nlki6nuhjgo&amp;dl=0","Click to download Image")</f>
      </c>
      <c r="C274" s="0" t="inlineStr">
        <is>
          <t>Cailin Infant Bodysuit</t>
        </is>
      </c>
      <c r="D274" s="1">
        <v>128975</v>
      </c>
      <c r="E274" s="0" t="inlineStr">
        <is>
          <t>IOWA CAILIN I BK 12PK:128975Z-12PK</t>
        </is>
      </c>
      <c r="F274" s="2">
        <v>800128975996</v>
      </c>
      <c r="G274" s="0" t="inlineStr">
        <is>
          <t>INFANT</t>
        </is>
      </c>
      <c r="H274" s="0" t="inlineStr">
        <is>
          <t>12 PACK</t>
        </is>
      </c>
      <c r="I274" s="0">
        <v>240</v>
      </c>
      <c r="J274" s="0">
        <v>0</v>
      </c>
    </row>
    <row r="275" spans="1:10" customHeight="0">
      <c r="A275" s="0">
        <f>HYPERLINK("https://dl.dropboxusercontent.com/scl/fi/ekhxlk9ccxk3nbdbv6m0u/calla-129550-f.jpg?rlkey=o0b1axaksf9ft0e5luw4j2jdb&amp;dl=0","Click to download Image")</f>
      </c>
      <c r="B275" s="0">
        <f>HYPERLINK("https://dl.dropboxusercontent.com/scl/fi/nh02ppqpgbdmolzkiib1k/womens-t-shirt-size-chartscalla.jpg?rlkey=5vhvmravhur5sucy6vk8ybj33&amp;dl=0","Click to download SizeChart")</f>
      </c>
      <c r="C275" s="0" t="inlineStr">
        <is>
          <t>Calla Women's Long Sleeve T-Shirt</t>
        </is>
      </c>
      <c r="D275" s="1">
        <v>129550</v>
      </c>
      <c r="E275" s="0" t="inlineStr">
        <is>
          <t>IOWA CALLA W BK:129550A-S</t>
        </is>
      </c>
      <c r="F275" s="2">
        <v>800129550048</v>
      </c>
      <c r="G275" s="0" t="inlineStr">
        <is>
          <t>WOMENS</t>
        </is>
      </c>
      <c r="H275" s="0" t="inlineStr">
        <is>
          <t>S</t>
        </is>
      </c>
      <c r="I275" s="0">
        <v>34.99</v>
      </c>
      <c r="J275" s="0">
        <v>2</v>
      </c>
    </row>
    <row r="276" spans="1:10" customHeight="0">
      <c r="A276" s="0">
        <f>HYPERLINK("https://dl.dropboxusercontent.com/scl/fi/ekhxlk9ccxk3nbdbv6m0u/calla-129550-f.jpg?rlkey=o0b1axaksf9ft0e5luw4j2jdb&amp;dl=0","Click to download Image")</f>
      </c>
      <c r="B276" s="0">
        <f>HYPERLINK("https://dl.dropboxusercontent.com/scl/fi/nh02ppqpgbdmolzkiib1k/womens-t-shirt-size-chartscalla.jpg?rlkey=5vhvmravhur5sucy6vk8ybj33&amp;dl=0","Click to download SizeChart")</f>
      </c>
      <c r="C276" s="0" t="inlineStr">
        <is>
          <t>Calla Women's Long Sleeve T-Shirt</t>
        </is>
      </c>
      <c r="D276" s="1">
        <v>129550</v>
      </c>
      <c r="E276" s="0" t="inlineStr">
        <is>
          <t>IOWA CALLA W BK:129550B-M</t>
        </is>
      </c>
      <c r="F276" s="2">
        <v>800129550055</v>
      </c>
      <c r="G276" s="0" t="inlineStr">
        <is>
          <t>WOMENS</t>
        </is>
      </c>
      <c r="H276" s="0" t="inlineStr">
        <is>
          <t>M</t>
        </is>
      </c>
      <c r="I276" s="0">
        <v>34.99</v>
      </c>
      <c r="J276" s="0">
        <v>0</v>
      </c>
    </row>
    <row r="277" spans="1:10" customHeight="0">
      <c r="A277" s="0">
        <f>HYPERLINK("https://dl.dropboxusercontent.com/scl/fi/ekhxlk9ccxk3nbdbv6m0u/calla-129550-f.jpg?rlkey=o0b1axaksf9ft0e5luw4j2jdb&amp;dl=0","Click to download Image")</f>
      </c>
      <c r="B277" s="0">
        <f>HYPERLINK("https://dl.dropboxusercontent.com/scl/fi/nh02ppqpgbdmolzkiib1k/womens-t-shirt-size-chartscalla.jpg?rlkey=5vhvmravhur5sucy6vk8ybj33&amp;dl=0","Click to download SizeChart")</f>
      </c>
      <c r="C277" s="0" t="inlineStr">
        <is>
          <t>Calla Women's Long Sleeve T-Shirt</t>
        </is>
      </c>
      <c r="D277" s="1">
        <v>129550</v>
      </c>
      <c r="E277" s="0" t="inlineStr">
        <is>
          <t>IOWA CALLA W BK:129550C-L</t>
        </is>
      </c>
      <c r="F277" s="2">
        <v>800129550062</v>
      </c>
      <c r="G277" s="0" t="inlineStr">
        <is>
          <t>WOMENS</t>
        </is>
      </c>
      <c r="H277" s="0" t="inlineStr">
        <is>
          <t>L</t>
        </is>
      </c>
      <c r="I277" s="0">
        <v>34.99</v>
      </c>
      <c r="J277" s="0">
        <v>0</v>
      </c>
    </row>
    <row r="278" spans="1:10" customHeight="0">
      <c r="A278" s="0">
        <f>HYPERLINK("https://dl.dropboxusercontent.com/scl/fi/ekhxlk9ccxk3nbdbv6m0u/calla-129550-f.jpg?rlkey=o0b1axaksf9ft0e5luw4j2jdb&amp;dl=0","Click to download Image")</f>
      </c>
      <c r="B278" s="0">
        <f>HYPERLINK("https://dl.dropboxusercontent.com/scl/fi/nh02ppqpgbdmolzkiib1k/womens-t-shirt-size-chartscalla.jpg?rlkey=5vhvmravhur5sucy6vk8ybj33&amp;dl=0","Click to download SizeChart")</f>
      </c>
      <c r="C278" s="0" t="inlineStr">
        <is>
          <t>Calla Women's Long Sleeve T-Shirt</t>
        </is>
      </c>
      <c r="D278" s="1">
        <v>129550</v>
      </c>
      <c r="E278" s="0" t="inlineStr">
        <is>
          <t>IOWA CALLA W BK:129550D-XL</t>
        </is>
      </c>
      <c r="F278" s="2">
        <v>800129550079</v>
      </c>
      <c r="G278" s="0" t="inlineStr">
        <is>
          <t>WOMENS</t>
        </is>
      </c>
      <c r="H278" s="0" t="inlineStr">
        <is>
          <t>XL</t>
        </is>
      </c>
      <c r="I278" s="0">
        <v>34.99</v>
      </c>
      <c r="J278" s="0">
        <v>0</v>
      </c>
    </row>
    <row r="279" spans="1:10" customHeight="0">
      <c r="A279" s="0">
        <f>HYPERLINK("https://dl.dropboxusercontent.com/scl/fi/ekhxlk9ccxk3nbdbv6m0u/calla-129550-f.jpg?rlkey=o0b1axaksf9ft0e5luw4j2jdb&amp;dl=0","Click to download Image")</f>
      </c>
      <c r="B279" s="0">
        <f>HYPERLINK("https://dl.dropboxusercontent.com/scl/fi/nh02ppqpgbdmolzkiib1k/womens-t-shirt-size-chartscalla.jpg?rlkey=5vhvmravhur5sucy6vk8ybj33&amp;dl=0","Click to download SizeChart")</f>
      </c>
      <c r="C279" s="0" t="inlineStr">
        <is>
          <t>Calla Women's Long Sleeve T-Shirt</t>
        </is>
      </c>
      <c r="D279" s="1">
        <v>129550</v>
      </c>
      <c r="E279" s="0" t="inlineStr">
        <is>
          <t>IOWA CALLA W BK:129550E-2XL</t>
        </is>
      </c>
      <c r="F279" s="2">
        <v>800129550086</v>
      </c>
      <c r="G279" s="0" t="inlineStr">
        <is>
          <t>WOMENS</t>
        </is>
      </c>
      <c r="H279" s="0" t="inlineStr">
        <is>
          <t>2XL</t>
        </is>
      </c>
      <c r="I279" s="0">
        <v>34.99</v>
      </c>
      <c r="J279" s="0">
        <v>0</v>
      </c>
    </row>
    <row r="280" spans="1:10" customHeight="0">
      <c r="A280" s="0">
        <f>HYPERLINK("https://dl.dropboxusercontent.com/scl/fi/ekhxlk9ccxk3nbdbv6m0u/calla-129550-f.jpg?rlkey=o0b1axaksf9ft0e5luw4j2jdb&amp;dl=0","Click to download Image")</f>
      </c>
      <c r="B280" s="0">
        <f>HYPERLINK("https://dl.dropboxusercontent.com/scl/fi/nh02ppqpgbdmolzkiib1k/womens-t-shirt-size-chartscalla.jpg?rlkey=5vhvmravhur5sucy6vk8ybj33&amp;dl=0","Click to download SizeChart")</f>
      </c>
      <c r="C280" s="0" t="inlineStr">
        <is>
          <t>Calla Women's Long Sleeve T-Shirt</t>
        </is>
      </c>
      <c r="D280" s="1">
        <v>129550</v>
      </c>
      <c r="E280" s="0" t="inlineStr">
        <is>
          <t>IOWA CALLA W BK:129550F-3XL</t>
        </is>
      </c>
      <c r="F280" s="2">
        <v>800129550093</v>
      </c>
      <c r="G280" s="0" t="inlineStr">
        <is>
          <t>WOMENS</t>
        </is>
      </c>
      <c r="H280" s="0" t="inlineStr">
        <is>
          <t>3XL</t>
        </is>
      </c>
      <c r="I280" s="0">
        <v>34.99</v>
      </c>
      <c r="J280" s="0">
        <v>0</v>
      </c>
    </row>
    <row r="281" spans="1:10" customHeight="0">
      <c r="A281" s="0">
        <f>HYPERLINK("https://dl.dropboxusercontent.com/scl/fi/ekhxlk9ccxk3nbdbv6m0u/calla-129550-f.jpg?rlkey=o0b1axaksf9ft0e5luw4j2jdb&amp;dl=0","Click to download Image")</f>
      </c>
      <c r="B281" s="0">
        <f>HYPERLINK("https://dl.dropboxusercontent.com/scl/fi/nh02ppqpgbdmolzkiib1k/womens-t-shirt-size-chartscalla.jpg?rlkey=5vhvmravhur5sucy6vk8ybj33&amp;dl=0","Click to download SizeChart")</f>
      </c>
      <c r="C281" s="0" t="inlineStr">
        <is>
          <t>Calla Women's Long Sleeve T-Shirt</t>
        </is>
      </c>
      <c r="D281" s="1">
        <v>129550</v>
      </c>
      <c r="E281" s="0" t="inlineStr">
        <is>
          <t>IOWA CALLA W BK 12PK:129550Z-12PK</t>
        </is>
      </c>
      <c r="F281" s="2">
        <v>800129550994</v>
      </c>
      <c r="G281" s="0" t="inlineStr">
        <is>
          <t>WOMENS</t>
        </is>
      </c>
      <c r="H281" s="0" t="inlineStr">
        <is>
          <t>12 PACK</t>
        </is>
      </c>
      <c r="I281" s="0">
        <v>336</v>
      </c>
      <c r="J281" s="0">
        <v>0</v>
      </c>
    </row>
    <row r="282" spans="1:10" customHeight="0">
      <c r="A282" s="0">
        <f>HYPERLINK("https://dl.dropboxusercontent.com/scl/fi/dsyzs3sc8t9jc3fy7gqge/f22-103bc.jpg?rlkey=t9nwpowyqwgbm2sx07wky0ssv&amp;dl=0","Click to download Image")</f>
      </c>
      <c r="B282" s="0">
        <f>HYPERLINK("https://dl.dropboxusercontent.com/scl/fi/03ehfj1h0m00gzzat2aw6/mens-bottoms-size-chartsbennett.jpg?rlkey=a1oxmbv267bkuyvb0di3we9xe&amp;dl=0","Click to download SizeChart")</f>
      </c>
      <c r="C282" s="0" t="inlineStr">
        <is>
          <t>Bennett Men's Shorts</t>
        </is>
      </c>
      <c r="D282" s="1">
        <v>128902</v>
      </c>
      <c r="E282" s="0" t="inlineStr">
        <is>
          <t>IOWA BENNET M BK:128902A-S</t>
        </is>
      </c>
      <c r="F282" s="2">
        <v>800128902015</v>
      </c>
      <c r="G282" s="0" t="inlineStr">
        <is>
          <t>MENS</t>
        </is>
      </c>
      <c r="H282" s="0" t="inlineStr">
        <is>
          <t>S</t>
        </is>
      </c>
      <c r="I282" s="0">
        <v>29.99</v>
      </c>
      <c r="J282" s="0">
        <v>13</v>
      </c>
    </row>
    <row r="283" spans="1:10" customHeight="0">
      <c r="A283" s="0">
        <f>HYPERLINK("https://dl.dropboxusercontent.com/scl/fi/dsyzs3sc8t9jc3fy7gqge/f22-103bc.jpg?rlkey=t9nwpowyqwgbm2sx07wky0ssv&amp;dl=0","Click to download Image")</f>
      </c>
      <c r="B283" s="0">
        <f>HYPERLINK("https://dl.dropboxusercontent.com/scl/fi/03ehfj1h0m00gzzat2aw6/mens-bottoms-size-chartsbennett.jpg?rlkey=a1oxmbv267bkuyvb0di3we9xe&amp;dl=0","Click to download SizeChart")</f>
      </c>
      <c r="C283" s="0" t="inlineStr">
        <is>
          <t>Bennett Men's Shorts</t>
        </is>
      </c>
      <c r="D283" s="1">
        <v>128902</v>
      </c>
      <c r="E283" s="0" t="inlineStr">
        <is>
          <t>IOWA BENNET M BK:128902B-M</t>
        </is>
      </c>
      <c r="F283" s="2">
        <v>800128902022</v>
      </c>
      <c r="G283" s="0" t="inlineStr">
        <is>
          <t>MENS</t>
        </is>
      </c>
      <c r="H283" s="0" t="inlineStr">
        <is>
          <t>M</t>
        </is>
      </c>
      <c r="I283" s="0">
        <v>29.99</v>
      </c>
      <c r="J283" s="0">
        <v>4</v>
      </c>
    </row>
    <row r="284" spans="1:10" customHeight="0">
      <c r="A284" s="0">
        <f>HYPERLINK("https://dl.dropboxusercontent.com/scl/fi/dsyzs3sc8t9jc3fy7gqge/f22-103bc.jpg?rlkey=t9nwpowyqwgbm2sx07wky0ssv&amp;dl=0","Click to download Image")</f>
      </c>
      <c r="B284" s="0">
        <f>HYPERLINK("https://dl.dropboxusercontent.com/scl/fi/03ehfj1h0m00gzzat2aw6/mens-bottoms-size-chartsbennett.jpg?rlkey=a1oxmbv267bkuyvb0di3we9xe&amp;dl=0","Click to download SizeChart")</f>
      </c>
      <c r="C284" s="0" t="inlineStr">
        <is>
          <t>Bennett Men's Shorts</t>
        </is>
      </c>
      <c r="D284" s="1">
        <v>128902</v>
      </c>
      <c r="E284" s="0" t="inlineStr">
        <is>
          <t>IOWA BENNET M BK:128902C-L</t>
        </is>
      </c>
      <c r="F284" s="2">
        <v>800128902039</v>
      </c>
      <c r="G284" s="0" t="inlineStr">
        <is>
          <t>MENS</t>
        </is>
      </c>
      <c r="H284" s="0" t="inlineStr">
        <is>
          <t>L</t>
        </is>
      </c>
      <c r="I284" s="0">
        <v>29.99</v>
      </c>
      <c r="J284" s="0">
        <v>1</v>
      </c>
    </row>
    <row r="285" spans="1:10" customHeight="0">
      <c r="A285" s="0">
        <f>HYPERLINK("https://dl.dropboxusercontent.com/scl/fi/dsyzs3sc8t9jc3fy7gqge/f22-103bc.jpg?rlkey=t9nwpowyqwgbm2sx07wky0ssv&amp;dl=0","Click to download Image")</f>
      </c>
      <c r="B285" s="0">
        <f>HYPERLINK("https://dl.dropboxusercontent.com/scl/fi/03ehfj1h0m00gzzat2aw6/mens-bottoms-size-chartsbennett.jpg?rlkey=a1oxmbv267bkuyvb0di3we9xe&amp;dl=0","Click to download SizeChart")</f>
      </c>
      <c r="C285" s="0" t="inlineStr">
        <is>
          <t>Bennett Men's Shorts</t>
        </is>
      </c>
      <c r="D285" s="1">
        <v>128902</v>
      </c>
      <c r="E285" s="0" t="inlineStr">
        <is>
          <t>IOWA BENNET M BK:128902D-XL</t>
        </is>
      </c>
      <c r="F285" s="2">
        <v>800128902046</v>
      </c>
      <c r="G285" s="0" t="inlineStr">
        <is>
          <t>MENS</t>
        </is>
      </c>
      <c r="H285" s="0" t="inlineStr">
        <is>
          <t>XL</t>
        </is>
      </c>
      <c r="I285" s="0">
        <v>29.99</v>
      </c>
      <c r="J285" s="0">
        <v>9</v>
      </c>
    </row>
    <row r="286" spans="1:10" customHeight="0">
      <c r="A286" s="0">
        <f>HYPERLINK("https://dl.dropboxusercontent.com/scl/fi/dsyzs3sc8t9jc3fy7gqge/f22-103bc.jpg?rlkey=t9nwpowyqwgbm2sx07wky0ssv&amp;dl=0","Click to download Image")</f>
      </c>
      <c r="B286" s="0">
        <f>HYPERLINK("https://dl.dropboxusercontent.com/scl/fi/03ehfj1h0m00gzzat2aw6/mens-bottoms-size-chartsbennett.jpg?rlkey=a1oxmbv267bkuyvb0di3we9xe&amp;dl=0","Click to download SizeChart")</f>
      </c>
      <c r="C286" s="0" t="inlineStr">
        <is>
          <t>Bennett Men's Shorts</t>
        </is>
      </c>
      <c r="D286" s="1">
        <v>128902</v>
      </c>
      <c r="E286" s="0" t="inlineStr">
        <is>
          <t>IOWA BENNET M BK:128902E-2XL</t>
        </is>
      </c>
      <c r="F286" s="2">
        <v>800128902053</v>
      </c>
      <c r="G286" s="0" t="inlineStr">
        <is>
          <t>MENS</t>
        </is>
      </c>
      <c r="H286" s="0" t="inlineStr">
        <is>
          <t>2XL</t>
        </is>
      </c>
      <c r="I286" s="0">
        <v>29.99</v>
      </c>
      <c r="J286" s="0">
        <v>3</v>
      </c>
    </row>
    <row r="287" spans="1:10" customHeight="0">
      <c r="A287" s="0">
        <f>HYPERLINK("https://dl.dropboxusercontent.com/scl/fi/dsyzs3sc8t9jc3fy7gqge/f22-103bc.jpg?rlkey=t9nwpowyqwgbm2sx07wky0ssv&amp;dl=0","Click to download Image")</f>
      </c>
      <c r="B287" s="0">
        <f>HYPERLINK("https://dl.dropboxusercontent.com/scl/fi/03ehfj1h0m00gzzat2aw6/mens-bottoms-size-chartsbennett.jpg?rlkey=a1oxmbv267bkuyvb0di3we9xe&amp;dl=0","Click to download SizeChart")</f>
      </c>
      <c r="C287" s="0" t="inlineStr">
        <is>
          <t>Bennett Men's Shorts</t>
        </is>
      </c>
      <c r="D287" s="1">
        <v>128902</v>
      </c>
      <c r="E287" s="0" t="inlineStr">
        <is>
          <t>IOWA BENNET M BK:128902F-3XL</t>
        </is>
      </c>
      <c r="F287" s="2">
        <v>800128902060</v>
      </c>
      <c r="G287" s="0" t="inlineStr">
        <is>
          <t>MENS</t>
        </is>
      </c>
      <c r="H287" s="0" t="inlineStr">
        <is>
          <t>3XL</t>
        </is>
      </c>
      <c r="I287" s="0">
        <v>29.99</v>
      </c>
      <c r="J287" s="0">
        <v>1</v>
      </c>
    </row>
    <row r="288" spans="1:10" customHeight="0">
      <c r="A288" s="0">
        <f>HYPERLINK("https://dl.dropboxusercontent.com/scl/fi/dsyzs3sc8t9jc3fy7gqge/f22-103bc.jpg?rlkey=t9nwpowyqwgbm2sx07wky0ssv&amp;dl=0","Click to download Image")</f>
      </c>
      <c r="B288" s="0">
        <f>HYPERLINK("https://dl.dropboxusercontent.com/scl/fi/03ehfj1h0m00gzzat2aw6/mens-bottoms-size-chartsbennett.jpg?rlkey=a1oxmbv267bkuyvb0di3we9xe&amp;dl=0","Click to download SizeChart")</f>
      </c>
      <c r="C288" s="0" t="inlineStr">
        <is>
          <t>Bennett Men's Shorts</t>
        </is>
      </c>
      <c r="D288" s="1">
        <v>128902</v>
      </c>
      <c r="E288" s="0" t="inlineStr">
        <is>
          <t>IOWA BENNET M BK 12PK:128902Z-12PK</t>
        </is>
      </c>
      <c r="F288" s="2">
        <v>800128902992</v>
      </c>
      <c r="G288" s="0" t="inlineStr">
        <is>
          <t>MENS</t>
        </is>
      </c>
      <c r="H288" s="0" t="inlineStr">
        <is>
          <t>12 PACK</t>
        </is>
      </c>
      <c r="I288" s="0">
        <v>294</v>
      </c>
      <c r="J288" s="0">
        <v>0</v>
      </c>
    </row>
    <row r="289" spans="1:10" customHeight="0">
      <c r="A289" s="0">
        <f>HYPERLINK("https://dl.dropboxusercontent.com/scl/fi/du2lojact2fs7m62jquhl/avalon-129882-af.jpg?rlkey=xsnhjlft4w83wtorl2npgd2yt&amp;dl=0","Click to download Image")</f>
      </c>
      <c r="C289" s="0" t="inlineStr">
        <is>
          <t>Avalon Womens Cap</t>
        </is>
      </c>
      <c r="D289" s="1">
        <v>129882</v>
      </c>
      <c r="E289" s="0" t="inlineStr">
        <is>
          <t>IOWA AVALON A BK:129882</t>
        </is>
      </c>
      <c r="F289" s="2">
        <v>700129882012</v>
      </c>
      <c r="G289" s="0" t="inlineStr">
        <is>
          <t>WOMENS</t>
        </is>
      </c>
      <c r="H289" s="0" t="inlineStr">
        <is>
          <t>WOMEN:56CM</t>
        </is>
      </c>
      <c r="I289" s="0">
        <v>24.99</v>
      </c>
      <c r="J289" s="0">
        <v>97</v>
      </c>
    </row>
    <row r="290" spans="1:10" customHeight="0">
      <c r="A290" s="0">
        <f>HYPERLINK("https://dl.dropboxusercontent.com/scl/fi/8qnyjkf8x7h5vbh6nu2di/vrtl-ia-f24-titan-bk-v1f.jpg?rlkey=6aqylr4kkjv9t9r5vj3guvftp&amp;dl=0","Click to download Image")</f>
      </c>
      <c r="C290" s="0" t="inlineStr">
        <is>
          <t>Titan Soft-Sided Cooler</t>
        </is>
      </c>
      <c r="D290" s="1">
        <v>151934</v>
      </c>
      <c r="E290" s="0" t="inlineStr">
        <is>
          <t>IOWA TITAN BK:151934</t>
        </is>
      </c>
      <c r="F290" s="2">
        <v>900151934011</v>
      </c>
      <c r="H290" s="0" t="inlineStr">
        <is>
          <t>ONE SIZE</t>
        </is>
      </c>
      <c r="I290" s="0">
        <v>29.99</v>
      </c>
      <c r="J290" s="0">
        <v>1</v>
      </c>
    </row>
    <row r="291" spans="1:10" customHeight="0">
      <c r="A291" s="0">
        <f>HYPERLINK("https://dl.dropboxusercontent.com/scl/fi/b7b674srn1i2drq9t3oyb/mcallen-151920-f.jpg?rlkey=dmbfvkk6gpzqnlkhff1cigf4l&amp;dl=0","Click to download Image")</f>
      </c>
      <c r="C291" s="0" t="inlineStr">
        <is>
          <t>Mcallen Soft-Sided Cooler</t>
        </is>
      </c>
      <c r="D291" s="1">
        <v>151920</v>
      </c>
      <c r="E291" s="0" t="inlineStr">
        <is>
          <t>IOWA MCALLE BK:151920</t>
        </is>
      </c>
      <c r="F291" s="2">
        <v>900151920014</v>
      </c>
      <c r="H291" s="0" t="inlineStr">
        <is>
          <t>ONE SIZE</t>
        </is>
      </c>
      <c r="I291" s="0">
        <v>19.99</v>
      </c>
      <c r="J291" s="0">
        <v>16</v>
      </c>
    </row>
    <row r="292" spans="1:10" customHeight="0">
      <c r="A292" s="0">
        <f>HYPERLINK("https://dl.dropboxusercontent.com/scl/fi/s6i2uryprjz5k5d0tjbia/128938-f.jpg?rlkey=sorcm1qwram8v5d8fkjt8o128&amp;dl=0","Click to download Image")</f>
      </c>
      <c r="B292" s="0">
        <f>HYPERLINK("https://dl.dropboxusercontent.com/scl/fi/v935vcs3uyj1et9cl5amy/womens-hoodie-and-sweatshirt-size-chartsarya.jpg?rlkey=fmibo9lj1zyqp3pwk0sgevuch&amp;dl=0","Click to download SizeChart")</f>
      </c>
      <c r="C292" s="0" t="inlineStr">
        <is>
          <t>Arya Women's Hoodie</t>
        </is>
      </c>
      <c r="D292" s="1">
        <v>128938</v>
      </c>
      <c r="E292" s="0" t="inlineStr">
        <is>
          <t>IOWA ARYA W GN:128938A-S</t>
        </is>
      </c>
      <c r="F292" s="2">
        <v>800128938045</v>
      </c>
      <c r="G292" s="0" t="inlineStr">
        <is>
          <t>WOMENS</t>
        </is>
      </c>
      <c r="H292" s="0" t="inlineStr">
        <is>
          <t>S</t>
        </is>
      </c>
      <c r="I292" s="0">
        <v>64.99</v>
      </c>
      <c r="J292" s="0">
        <v>4</v>
      </c>
    </row>
    <row r="293" spans="1:10" customHeight="0">
      <c r="A293" s="0">
        <f>HYPERLINK("https://dl.dropboxusercontent.com/scl/fi/s6i2uryprjz5k5d0tjbia/128938-f.jpg?rlkey=sorcm1qwram8v5d8fkjt8o128&amp;dl=0","Click to download Image")</f>
      </c>
      <c r="B293" s="0">
        <f>HYPERLINK("https://dl.dropboxusercontent.com/scl/fi/v935vcs3uyj1et9cl5amy/womens-hoodie-and-sweatshirt-size-chartsarya.jpg?rlkey=fmibo9lj1zyqp3pwk0sgevuch&amp;dl=0","Click to download SizeChart")</f>
      </c>
      <c r="C293" s="0" t="inlineStr">
        <is>
          <t>Arya Women's Hoodie</t>
        </is>
      </c>
      <c r="D293" s="1">
        <v>128938</v>
      </c>
      <c r="E293" s="0" t="inlineStr">
        <is>
          <t>IOWA ARYA W GN:128938B-M</t>
        </is>
      </c>
      <c r="F293" s="2">
        <v>800128938052</v>
      </c>
      <c r="G293" s="0" t="inlineStr">
        <is>
          <t>WOMENS</t>
        </is>
      </c>
      <c r="H293" s="0" t="inlineStr">
        <is>
          <t>M</t>
        </is>
      </c>
      <c r="I293" s="0">
        <v>64.99</v>
      </c>
      <c r="J293" s="0">
        <v>12</v>
      </c>
    </row>
    <row r="294" spans="1:10" customHeight="0">
      <c r="A294" s="0">
        <f>HYPERLINK("https://dl.dropboxusercontent.com/scl/fi/s6i2uryprjz5k5d0tjbia/128938-f.jpg?rlkey=sorcm1qwram8v5d8fkjt8o128&amp;dl=0","Click to download Image")</f>
      </c>
      <c r="B294" s="0">
        <f>HYPERLINK("https://dl.dropboxusercontent.com/scl/fi/v935vcs3uyj1et9cl5amy/womens-hoodie-and-sweatshirt-size-chartsarya.jpg?rlkey=fmibo9lj1zyqp3pwk0sgevuch&amp;dl=0","Click to download SizeChart")</f>
      </c>
      <c r="C294" s="0" t="inlineStr">
        <is>
          <t>Arya Women's Hoodie</t>
        </is>
      </c>
      <c r="D294" s="1">
        <v>128938</v>
      </c>
      <c r="E294" s="0" t="inlineStr">
        <is>
          <t>IOWA ARYA W GN:128938C-L</t>
        </is>
      </c>
      <c r="F294" s="2">
        <v>800128938069</v>
      </c>
      <c r="G294" s="0" t="inlineStr">
        <is>
          <t>WOMENS</t>
        </is>
      </c>
      <c r="H294" s="0" t="inlineStr">
        <is>
          <t>L</t>
        </is>
      </c>
      <c r="I294" s="0">
        <v>64.99</v>
      </c>
      <c r="J294" s="0">
        <v>8</v>
      </c>
    </row>
    <row r="295" spans="1:10" customHeight="0">
      <c r="A295" s="0">
        <f>HYPERLINK("https://dl.dropboxusercontent.com/scl/fi/s6i2uryprjz5k5d0tjbia/128938-f.jpg?rlkey=sorcm1qwram8v5d8fkjt8o128&amp;dl=0","Click to download Image")</f>
      </c>
      <c r="B295" s="0">
        <f>HYPERLINK("https://dl.dropboxusercontent.com/scl/fi/v935vcs3uyj1et9cl5amy/womens-hoodie-and-sweatshirt-size-chartsarya.jpg?rlkey=fmibo9lj1zyqp3pwk0sgevuch&amp;dl=0","Click to download SizeChart")</f>
      </c>
      <c r="C295" s="0" t="inlineStr">
        <is>
          <t>Arya Women's Hoodie</t>
        </is>
      </c>
      <c r="D295" s="1">
        <v>128938</v>
      </c>
      <c r="E295" s="0" t="inlineStr">
        <is>
          <t>IOWA ARYA W GN:128938D-XL</t>
        </is>
      </c>
      <c r="F295" s="2">
        <v>800128938076</v>
      </c>
      <c r="G295" s="0" t="inlineStr">
        <is>
          <t>WOMENS</t>
        </is>
      </c>
      <c r="H295" s="0" t="inlineStr">
        <is>
          <t>XL</t>
        </is>
      </c>
      <c r="I295" s="0">
        <v>64.99</v>
      </c>
      <c r="J295" s="0">
        <v>1</v>
      </c>
    </row>
    <row r="296" spans="1:10" customHeight="0">
      <c r="A296" s="0">
        <f>HYPERLINK("https://dl.dropboxusercontent.com/scl/fi/s6i2uryprjz5k5d0tjbia/128938-f.jpg?rlkey=sorcm1qwram8v5d8fkjt8o128&amp;dl=0","Click to download Image")</f>
      </c>
      <c r="B296" s="0">
        <f>HYPERLINK("https://dl.dropboxusercontent.com/scl/fi/v935vcs3uyj1et9cl5amy/womens-hoodie-and-sweatshirt-size-chartsarya.jpg?rlkey=fmibo9lj1zyqp3pwk0sgevuch&amp;dl=0","Click to download SizeChart")</f>
      </c>
      <c r="C296" s="0" t="inlineStr">
        <is>
          <t>Arya Women's Hoodie</t>
        </is>
      </c>
      <c r="D296" s="1">
        <v>128938</v>
      </c>
      <c r="E296" s="0" t="inlineStr">
        <is>
          <t>IOWA ARYA W GN:128938E-2XL</t>
        </is>
      </c>
      <c r="F296" s="2">
        <v>800128938083</v>
      </c>
      <c r="G296" s="0" t="inlineStr">
        <is>
          <t>WOMENS</t>
        </is>
      </c>
      <c r="H296" s="0" t="inlineStr">
        <is>
          <t>2XL</t>
        </is>
      </c>
      <c r="I296" s="0">
        <v>64.99</v>
      </c>
      <c r="J296" s="0">
        <v>1</v>
      </c>
    </row>
    <row r="297" spans="1:10" customHeight="0">
      <c r="A297" s="0">
        <f>HYPERLINK("https://dl.dropboxusercontent.com/scl/fi/s6i2uryprjz5k5d0tjbia/128938-f.jpg?rlkey=sorcm1qwram8v5d8fkjt8o128&amp;dl=0","Click to download Image")</f>
      </c>
      <c r="B297" s="0">
        <f>HYPERLINK("https://dl.dropboxusercontent.com/scl/fi/v935vcs3uyj1et9cl5amy/womens-hoodie-and-sweatshirt-size-chartsarya.jpg?rlkey=fmibo9lj1zyqp3pwk0sgevuch&amp;dl=0","Click to download SizeChart")</f>
      </c>
      <c r="C297" s="0" t="inlineStr">
        <is>
          <t>Arya Women's Hoodie</t>
        </is>
      </c>
      <c r="D297" s="1">
        <v>128938</v>
      </c>
      <c r="E297" s="0" t="inlineStr">
        <is>
          <t>IOWA ARYA W GN:128938F-3XL</t>
        </is>
      </c>
      <c r="F297" s="2">
        <v>800128938090</v>
      </c>
      <c r="G297" s="0" t="inlineStr">
        <is>
          <t>WOMENS</t>
        </is>
      </c>
      <c r="H297" s="0" t="inlineStr">
        <is>
          <t>3XL</t>
        </is>
      </c>
      <c r="I297" s="0">
        <v>64.99</v>
      </c>
      <c r="J297" s="0">
        <v>1</v>
      </c>
    </row>
    <row r="298" spans="1:10" customHeight="0">
      <c r="A298" s="0">
        <f>HYPERLINK("https://dl.dropboxusercontent.com/scl/fi/s6i2uryprjz5k5d0tjbia/128938-f.jpg?rlkey=sorcm1qwram8v5d8fkjt8o128&amp;dl=0","Click to download Image")</f>
      </c>
      <c r="B298" s="0">
        <f>HYPERLINK("https://dl.dropboxusercontent.com/scl/fi/v935vcs3uyj1et9cl5amy/womens-hoodie-and-sweatshirt-size-chartsarya.jpg?rlkey=fmibo9lj1zyqp3pwk0sgevuch&amp;dl=0","Click to download SizeChart")</f>
      </c>
      <c r="C298" s="0" t="inlineStr">
        <is>
          <t>Arya Women's Hoodie</t>
        </is>
      </c>
      <c r="D298" s="1">
        <v>128938</v>
      </c>
      <c r="E298" s="0" t="inlineStr">
        <is>
          <t>IOWA ARYA W GN 12PK:128938Z-12PK</t>
        </is>
      </c>
      <c r="F298" s="2">
        <v>800128938991</v>
      </c>
      <c r="G298" s="0" t="inlineStr">
        <is>
          <t>WOMENS</t>
        </is>
      </c>
      <c r="H298" s="0" t="inlineStr">
        <is>
          <t>12 PACK</t>
        </is>
      </c>
      <c r="I298" s="0">
        <v>624</v>
      </c>
      <c r="J298" s="0">
        <v>0</v>
      </c>
    </row>
    <row r="299" spans="1:10" customHeight="0">
      <c r="A299" s="0">
        <f>HYPERLINK("https://dl.dropboxusercontent.com/scl/fi/qzcbxqzh23e5h34kbgo8b/f22-107-1bc.jpg?rlkey=08ryefiq6752krjek0l9uf5h1&amp;dl=0","Click to download Image")</f>
      </c>
      <c r="B299" s="0">
        <f>HYPERLINK("https://dl.dropboxusercontent.com/scl/fi/1rtmhnk853oajicsl1dya/womens-size-chartsbea.jpg?rlkey=0y9enh2pql3j73ymy6k8nytq4&amp;dl=0","Click to download SizeChart")</f>
      </c>
      <c r="C299" s="0" t="inlineStr">
        <is>
          <t>Bea Women's Joggers</t>
        </is>
      </c>
      <c r="D299" s="1">
        <v>125852</v>
      </c>
      <c r="E299" s="0" t="inlineStr">
        <is>
          <t>IOWA BEA W BK:125852A-S</t>
        </is>
      </c>
      <c r="F299" s="2">
        <v>800125852016</v>
      </c>
      <c r="G299" s="0" t="inlineStr">
        <is>
          <t>WOMENS</t>
        </is>
      </c>
      <c r="H299" s="0" t="inlineStr">
        <is>
          <t>S</t>
        </is>
      </c>
      <c r="I299" s="0">
        <v>39.99</v>
      </c>
      <c r="J299" s="0">
        <v>10</v>
      </c>
    </row>
    <row r="300" spans="1:10" customHeight="0">
      <c r="A300" s="0">
        <f>HYPERLINK("https://dl.dropboxusercontent.com/scl/fi/qzcbxqzh23e5h34kbgo8b/f22-107-1bc.jpg?rlkey=08ryefiq6752krjek0l9uf5h1&amp;dl=0","Click to download Image")</f>
      </c>
      <c r="B300" s="0">
        <f>HYPERLINK("https://dl.dropboxusercontent.com/scl/fi/1rtmhnk853oajicsl1dya/womens-size-chartsbea.jpg?rlkey=0y9enh2pql3j73ymy6k8nytq4&amp;dl=0","Click to download SizeChart")</f>
      </c>
      <c r="C300" s="0" t="inlineStr">
        <is>
          <t>Bea Women's Joggers</t>
        </is>
      </c>
      <c r="D300" s="1">
        <v>125852</v>
      </c>
      <c r="E300" s="0" t="inlineStr">
        <is>
          <t>IOWA BEA W BK:125852B-M</t>
        </is>
      </c>
      <c r="F300" s="2">
        <v>800125852023</v>
      </c>
      <c r="G300" s="0" t="inlineStr">
        <is>
          <t>WOMENS</t>
        </is>
      </c>
      <c r="H300" s="0" t="inlineStr">
        <is>
          <t>M</t>
        </is>
      </c>
      <c r="I300" s="0">
        <v>39.99</v>
      </c>
      <c r="J300" s="0">
        <v>23</v>
      </c>
    </row>
    <row r="301" spans="1:10" customHeight="0">
      <c r="A301" s="0">
        <f>HYPERLINK("https://dl.dropboxusercontent.com/scl/fi/qzcbxqzh23e5h34kbgo8b/f22-107-1bc.jpg?rlkey=08ryefiq6752krjek0l9uf5h1&amp;dl=0","Click to download Image")</f>
      </c>
      <c r="B301" s="0">
        <f>HYPERLINK("https://dl.dropboxusercontent.com/scl/fi/1rtmhnk853oajicsl1dya/womens-size-chartsbea.jpg?rlkey=0y9enh2pql3j73ymy6k8nytq4&amp;dl=0","Click to download SizeChart")</f>
      </c>
      <c r="C301" s="0" t="inlineStr">
        <is>
          <t>Bea Women's Joggers</t>
        </is>
      </c>
      <c r="D301" s="1">
        <v>125852</v>
      </c>
      <c r="E301" s="0" t="inlineStr">
        <is>
          <t>IOWA BEA W BK:125852C-L</t>
        </is>
      </c>
      <c r="F301" s="2">
        <v>800125852030</v>
      </c>
      <c r="G301" s="0" t="inlineStr">
        <is>
          <t>WOMENS</t>
        </is>
      </c>
      <c r="H301" s="0" t="inlineStr">
        <is>
          <t>L</t>
        </is>
      </c>
      <c r="I301" s="0">
        <v>39.99</v>
      </c>
      <c r="J301" s="0">
        <v>21</v>
      </c>
    </row>
    <row r="302" spans="1:10" customHeight="0">
      <c r="A302" s="0">
        <f>HYPERLINK("https://dl.dropboxusercontent.com/scl/fi/qzcbxqzh23e5h34kbgo8b/f22-107-1bc.jpg?rlkey=08ryefiq6752krjek0l9uf5h1&amp;dl=0","Click to download Image")</f>
      </c>
      <c r="B302" s="0">
        <f>HYPERLINK("https://dl.dropboxusercontent.com/scl/fi/1rtmhnk853oajicsl1dya/womens-size-chartsbea.jpg?rlkey=0y9enh2pql3j73ymy6k8nytq4&amp;dl=0","Click to download SizeChart")</f>
      </c>
      <c r="C302" s="0" t="inlineStr">
        <is>
          <t>Bea Women's Joggers</t>
        </is>
      </c>
      <c r="D302" s="1">
        <v>125852</v>
      </c>
      <c r="E302" s="0" t="inlineStr">
        <is>
          <t>IOWA BEA W BK:125852D-XL</t>
        </is>
      </c>
      <c r="F302" s="2">
        <v>800125852047</v>
      </c>
      <c r="G302" s="0" t="inlineStr">
        <is>
          <t>WOMENS</t>
        </is>
      </c>
      <c r="H302" s="0" t="inlineStr">
        <is>
          <t>XL</t>
        </is>
      </c>
      <c r="I302" s="0">
        <v>39.99</v>
      </c>
      <c r="J302" s="0">
        <v>11</v>
      </c>
    </row>
    <row r="303" spans="1:10" customHeight="0">
      <c r="A303" s="0">
        <f>HYPERLINK("https://dl.dropboxusercontent.com/scl/fi/qzcbxqzh23e5h34kbgo8b/f22-107-1bc.jpg?rlkey=08ryefiq6752krjek0l9uf5h1&amp;dl=0","Click to download Image")</f>
      </c>
      <c r="B303" s="0">
        <f>HYPERLINK("https://dl.dropboxusercontent.com/scl/fi/1rtmhnk853oajicsl1dya/womens-size-chartsbea.jpg?rlkey=0y9enh2pql3j73ymy6k8nytq4&amp;dl=0","Click to download SizeChart")</f>
      </c>
      <c r="C303" s="0" t="inlineStr">
        <is>
          <t>Bea Women's Joggers</t>
        </is>
      </c>
      <c r="D303" s="1">
        <v>125852</v>
      </c>
      <c r="E303" s="0" t="inlineStr">
        <is>
          <t>IOWA BEA W BK:125852E-2XL</t>
        </is>
      </c>
      <c r="F303" s="2">
        <v>800125852054</v>
      </c>
      <c r="G303" s="0" t="inlineStr">
        <is>
          <t>WOMENS</t>
        </is>
      </c>
      <c r="H303" s="0" t="inlineStr">
        <is>
          <t>2XL</t>
        </is>
      </c>
      <c r="I303" s="0">
        <v>39.99</v>
      </c>
      <c r="J303" s="0">
        <v>0</v>
      </c>
    </row>
    <row r="304" spans="1:10" customHeight="0">
      <c r="A304" s="0">
        <f>HYPERLINK("https://dl.dropboxusercontent.com/scl/fi/qzcbxqzh23e5h34kbgo8b/f22-107-1bc.jpg?rlkey=08ryefiq6752krjek0l9uf5h1&amp;dl=0","Click to download Image")</f>
      </c>
      <c r="B304" s="0">
        <f>HYPERLINK("https://dl.dropboxusercontent.com/scl/fi/1rtmhnk853oajicsl1dya/womens-size-chartsbea.jpg?rlkey=0y9enh2pql3j73ymy6k8nytq4&amp;dl=0","Click to download SizeChart")</f>
      </c>
      <c r="C304" s="0" t="inlineStr">
        <is>
          <t>Bea Women's Joggers</t>
        </is>
      </c>
      <c r="D304" s="1">
        <v>125852</v>
      </c>
      <c r="E304" s="0" t="inlineStr">
        <is>
          <t>IOWA BEA W BK:125852F-3XL</t>
        </is>
      </c>
      <c r="F304" s="2">
        <v>800125852061</v>
      </c>
      <c r="G304" s="0" t="inlineStr">
        <is>
          <t>WOMENS</t>
        </is>
      </c>
      <c r="H304" s="0" t="inlineStr">
        <is>
          <t>3XL</t>
        </is>
      </c>
      <c r="I304" s="0">
        <v>39.99</v>
      </c>
      <c r="J304" s="0">
        <v>0</v>
      </c>
    </row>
    <row r="305" spans="1:10" customHeight="0">
      <c r="A305" s="0">
        <f>HYPERLINK("https://dl.dropboxusercontent.com/scl/fi/qzcbxqzh23e5h34kbgo8b/f22-107-1bc.jpg?rlkey=08ryefiq6752krjek0l9uf5h1&amp;dl=0","Click to download Image")</f>
      </c>
      <c r="B305" s="0">
        <f>HYPERLINK("https://dl.dropboxusercontent.com/scl/fi/1rtmhnk853oajicsl1dya/womens-size-chartsbea.jpg?rlkey=0y9enh2pql3j73ymy6k8nytq4&amp;dl=0","Click to download SizeChart")</f>
      </c>
      <c r="C305" s="0" t="inlineStr">
        <is>
          <t>Bea Women's Joggers</t>
        </is>
      </c>
      <c r="D305" s="1">
        <v>125852</v>
      </c>
      <c r="E305" s="0" t="inlineStr">
        <is>
          <t>IOWA BEA W BK 12PK:125852Z-12PK</t>
        </is>
      </c>
      <c r="F305" s="2">
        <v>800125852993</v>
      </c>
      <c r="G305" s="0" t="inlineStr">
        <is>
          <t>WOMENS</t>
        </is>
      </c>
      <c r="H305" s="0" t="inlineStr">
        <is>
          <t>12 PACK</t>
        </is>
      </c>
      <c r="I305" s="0">
        <v>384</v>
      </c>
      <c r="J305" s="0">
        <v>0</v>
      </c>
    </row>
    <row r="306" spans="1:10" customHeight="0">
      <c r="A306" s="0">
        <f>HYPERLINK("https://dl.dropboxusercontent.com/scl/fi/9p610tjywo2h8cecrfe10/126977-f.jpg?rlkey=tlipih0c20hxc29fangbd3pvf&amp;dl=0","Click to download Image")</f>
      </c>
      <c r="B306" s="0">
        <f>HYPERLINK("https://dl.dropboxusercontent.com/scl/fi/0f2ut8vtpft0251lv6d61/infant-2023standard-onesie-christer-emmeline.jpg?rlkey=ffy1efblofeoiana1xhh2y22k&amp;dl=0","Click to download SizeChart")</f>
      </c>
      <c r="C306" s="0" t="inlineStr">
        <is>
          <t>Christer Infant Bodysuit</t>
        </is>
      </c>
      <c r="D306" s="1">
        <v>126977</v>
      </c>
      <c r="E306" s="0" t="inlineStr">
        <is>
          <t>IOWA CHRIST I BK:126977A-0-3M</t>
        </is>
      </c>
      <c r="F306" s="2">
        <v>800126977008</v>
      </c>
      <c r="G306" s="0" t="inlineStr">
        <is>
          <t>INFANT</t>
        </is>
      </c>
      <c r="H306" s="0" t="inlineStr">
        <is>
          <t>0-3M</t>
        </is>
      </c>
      <c r="I306" s="0">
        <v>24.99</v>
      </c>
      <c r="J306" s="0">
        <v>7</v>
      </c>
    </row>
    <row r="307" spans="1:10" customHeight="0">
      <c r="A307" s="0">
        <f>HYPERLINK("https://dl.dropboxusercontent.com/scl/fi/9p610tjywo2h8cecrfe10/126977-f.jpg?rlkey=tlipih0c20hxc29fangbd3pvf&amp;dl=0","Click to download Image")</f>
      </c>
      <c r="B307" s="0">
        <f>HYPERLINK("https://dl.dropboxusercontent.com/scl/fi/0f2ut8vtpft0251lv6d61/infant-2023standard-onesie-christer-emmeline.jpg?rlkey=ffy1efblofeoiana1xhh2y22k&amp;dl=0","Click to download SizeChart")</f>
      </c>
      <c r="C307" s="0" t="inlineStr">
        <is>
          <t>Christer Infant Bodysuit</t>
        </is>
      </c>
      <c r="D307" s="1">
        <v>126977</v>
      </c>
      <c r="E307" s="0" t="inlineStr">
        <is>
          <t>IOWA CHRIST I BK:126977B-3-6M</t>
        </is>
      </c>
      <c r="F307" s="2">
        <v>800126977015</v>
      </c>
      <c r="G307" s="0" t="inlineStr">
        <is>
          <t>INFANT</t>
        </is>
      </c>
      <c r="H307" s="0" t="inlineStr">
        <is>
          <t>3-6M</t>
        </is>
      </c>
      <c r="I307" s="0">
        <v>24.99</v>
      </c>
      <c r="J307" s="0">
        <v>5</v>
      </c>
    </row>
    <row r="308" spans="1:10" customHeight="0">
      <c r="A308" s="0">
        <f>HYPERLINK("https://dl.dropboxusercontent.com/scl/fi/9p610tjywo2h8cecrfe10/126977-f.jpg?rlkey=tlipih0c20hxc29fangbd3pvf&amp;dl=0","Click to download Image")</f>
      </c>
      <c r="B308" s="0">
        <f>HYPERLINK("https://dl.dropboxusercontent.com/scl/fi/0f2ut8vtpft0251lv6d61/infant-2023standard-onesie-christer-emmeline.jpg?rlkey=ffy1efblofeoiana1xhh2y22k&amp;dl=0","Click to download SizeChart")</f>
      </c>
      <c r="C308" s="0" t="inlineStr">
        <is>
          <t>Christer Infant Bodysuit</t>
        </is>
      </c>
      <c r="D308" s="1">
        <v>126977</v>
      </c>
      <c r="E308" s="0" t="inlineStr">
        <is>
          <t>IOWA CHRIST I BK:126977C-6-9M</t>
        </is>
      </c>
      <c r="F308" s="2">
        <v>800126977022</v>
      </c>
      <c r="G308" s="0" t="inlineStr">
        <is>
          <t>INFANT</t>
        </is>
      </c>
      <c r="H308" s="0" t="inlineStr">
        <is>
          <t>6-9M</t>
        </is>
      </c>
      <c r="I308" s="0">
        <v>24.99</v>
      </c>
      <c r="J308" s="0">
        <v>5</v>
      </c>
    </row>
    <row r="309" spans="1:10" customHeight="0">
      <c r="A309" s="0">
        <f>HYPERLINK("https://dl.dropboxusercontent.com/scl/fi/9p610tjywo2h8cecrfe10/126977-f.jpg?rlkey=tlipih0c20hxc29fangbd3pvf&amp;dl=0","Click to download Image")</f>
      </c>
      <c r="B309" s="0">
        <f>HYPERLINK("https://dl.dropboxusercontent.com/scl/fi/0f2ut8vtpft0251lv6d61/infant-2023standard-onesie-christer-emmeline.jpg?rlkey=ffy1efblofeoiana1xhh2y22k&amp;dl=0","Click to download SizeChart")</f>
      </c>
      <c r="C309" s="0" t="inlineStr">
        <is>
          <t>Christer Infant Bodysuit</t>
        </is>
      </c>
      <c r="D309" s="1">
        <v>126977</v>
      </c>
      <c r="E309" s="0" t="inlineStr">
        <is>
          <t>IOWA CHRIST I BK:126977F-12M</t>
        </is>
      </c>
      <c r="F309" s="2">
        <v>800126977039</v>
      </c>
      <c r="G309" s="0" t="inlineStr">
        <is>
          <t>INFANT</t>
        </is>
      </c>
      <c r="H309" s="0" t="inlineStr">
        <is>
          <t>12M</t>
        </is>
      </c>
      <c r="I309" s="0">
        <v>24.99</v>
      </c>
      <c r="J309" s="0">
        <v>4</v>
      </c>
    </row>
    <row r="310" spans="1:10" customHeight="0">
      <c r="A310" s="0">
        <f>HYPERLINK("https://dl.dropboxusercontent.com/scl/fi/9p610tjywo2h8cecrfe10/126977-f.jpg?rlkey=tlipih0c20hxc29fangbd3pvf&amp;dl=0","Click to download Image")</f>
      </c>
      <c r="B310" s="0">
        <f>HYPERLINK("https://dl.dropboxusercontent.com/scl/fi/0f2ut8vtpft0251lv6d61/infant-2023standard-onesie-christer-emmeline.jpg?rlkey=ffy1efblofeoiana1xhh2y22k&amp;dl=0","Click to download SizeChart")</f>
      </c>
      <c r="C310" s="0" t="inlineStr">
        <is>
          <t>Christer Infant Bodysuit</t>
        </is>
      </c>
      <c r="D310" s="1">
        <v>126977</v>
      </c>
      <c r="E310" s="0" t="inlineStr">
        <is>
          <t>IOWA CHRIST I BK 12PK:126977Z-12PK</t>
        </is>
      </c>
      <c r="F310" s="2">
        <v>800126977992</v>
      </c>
      <c r="G310" s="0" t="inlineStr">
        <is>
          <t>INFANT</t>
        </is>
      </c>
      <c r="H310" s="0" t="inlineStr">
        <is>
          <t>12 PACK</t>
        </is>
      </c>
      <c r="I310" s="0">
        <v>240</v>
      </c>
      <c r="J310" s="0">
        <v>0</v>
      </c>
    </row>
    <row r="311" spans="1:10" customHeight="0">
      <c r="A311" s="0">
        <f>HYPERLINK("https://dl.dropboxusercontent.com/scl/fi/du2l77a45rxyolixojc8h/f22-57-ia.jpg?rlkey=og93bhd6rfwzhjhdno7ggk7us&amp;dl=0","Click to download Image")</f>
      </c>
      <c r="C311" s="0" t="inlineStr">
        <is>
          <t>Clara Women's Beanie</t>
        </is>
      </c>
      <c r="D311" s="1">
        <v>129857</v>
      </c>
      <c r="E311" s="0" t="inlineStr">
        <is>
          <t>IOWA CLARA W GY:129857</t>
        </is>
      </c>
      <c r="F311" s="2">
        <v>700129857010</v>
      </c>
      <c r="G311" s="0" t="inlineStr">
        <is>
          <t>WOMENS</t>
        </is>
      </c>
      <c r="I311" s="0">
        <v>24.99</v>
      </c>
      <c r="J311" s="0">
        <v>20</v>
      </c>
    </row>
    <row r="312" spans="1:10" customHeight="0">
      <c r="A312" s="0">
        <f>HYPERLINK("https://dl.dropboxusercontent.com/scl/fi/3dxmjqnnhjoy3vu57wp43/minor-151505-tn.jpg?rlkey=qjwz6sv5rtrgt2ex1bo1i9dvc&amp;dl=0","Click to download Image")</f>
      </c>
      <c r="C312" s="0" t="inlineStr">
        <is>
          <t>Minor Youth Beanie</t>
        </is>
      </c>
      <c r="D312" s="1">
        <v>151505</v>
      </c>
      <c r="E312" s="0" t="inlineStr">
        <is>
          <t>IOWA MINOR Y BK:151505</t>
        </is>
      </c>
      <c r="F312" s="2">
        <v>700151505019</v>
      </c>
      <c r="G312" s="0" t="inlineStr">
        <is>
          <t>YOUTH</t>
        </is>
      </c>
      <c r="H312" s="0" t="inlineStr">
        <is>
          <t>YOUTH</t>
        </is>
      </c>
      <c r="I312" s="0">
        <v>24.99</v>
      </c>
      <c r="J312" s="0">
        <v>55</v>
      </c>
    </row>
    <row r="313" spans="1:10" customHeight="0">
      <c r="A313" s="0">
        <f>HYPERLINK("https://dl.dropboxusercontent.com/scl/fi/h49cizm3q639ds8xshgig/minor-151505-tn.jpg?rlkey=h9rxsllwjxmj9amtnq250mlx2&amp;dl=0","Click to download Image")</f>
      </c>
      <c r="C313" s="0" t="inlineStr">
        <is>
          <t>Minor Men's Beanie</t>
        </is>
      </c>
      <c r="D313" s="1">
        <v>151250</v>
      </c>
      <c r="E313" s="0" t="inlineStr">
        <is>
          <t>IOWA MINOR A BK:151250</t>
        </is>
      </c>
      <c r="F313" s="2">
        <v>700151250018</v>
      </c>
      <c r="G313" s="0" t="inlineStr">
        <is>
          <t>MENS</t>
        </is>
      </c>
      <c r="H313" s="0" t="inlineStr">
        <is>
          <t>ADULT</t>
        </is>
      </c>
      <c r="I313" s="0">
        <v>24.99</v>
      </c>
      <c r="J313" s="0">
        <v>2</v>
      </c>
    </row>
    <row r="314" spans="1:10" customHeight="0">
      <c r="A314" s="0">
        <f>HYPERLINK("https://dl.dropboxusercontent.com/scl/fi/cmui3127tyhdgwx2c5fck/editdsc8270-copy.jpg?rlkey=y6440pota9xsiy4c7x4m1o8h2&amp;dl=0","Click to download Image")</f>
      </c>
      <c r="C314" s="0" t="inlineStr">
        <is>
          <t>Rynn Belt Bag</t>
        </is>
      </c>
      <c r="D314" s="1">
        <v>150381</v>
      </c>
      <c r="E314" s="0" t="inlineStr">
        <is>
          <t>IOWA RYNN BK:150381</t>
        </is>
      </c>
      <c r="F314" s="2">
        <v>900150381014</v>
      </c>
      <c r="H314" s="0" t="inlineStr">
        <is>
          <t>ONE SIZE</t>
        </is>
      </c>
      <c r="I314" s="0">
        <v>39.99</v>
      </c>
      <c r="J314" s="0">
        <v>1</v>
      </c>
    </row>
    <row r="315" spans="1:10" customHeight="0">
      <c r="A315" s="0">
        <f>HYPERLINK("https://dl.dropboxusercontent.com/scl/fi/wc83bsfu0cwm2hrxknk8v/f22-37bc.jpg?rlkey=t60cqobc13jchrxn1hg3yf2kv&amp;dl=0","Click to download Image")</f>
      </c>
      <c r="B315" s="0">
        <f>HYPERLINK("https://dl.dropboxusercontent.com/scl/fi/7wjtw95zez3ntwrta28bz/womens-pullover-size-chartselowen.jpg?rlkey=3frn91761rrga5ld85q204vjf&amp;dl=0","Click to download SizeChart")</f>
      </c>
      <c r="C315" s="0" t="inlineStr">
        <is>
          <t>Elowen Women's Pullover</t>
        </is>
      </c>
      <c r="D315" s="1">
        <v>127110</v>
      </c>
      <c r="E315" s="0" t="inlineStr">
        <is>
          <t>IOWA ELOWEN W ND:127110A-S</t>
        </is>
      </c>
      <c r="F315" s="2">
        <v>800127110046</v>
      </c>
      <c r="G315" s="0" t="inlineStr">
        <is>
          <t>WOMENS</t>
        </is>
      </c>
      <c r="H315" s="0" t="inlineStr">
        <is>
          <t>S</t>
        </is>
      </c>
      <c r="I315" s="0">
        <v>54.99</v>
      </c>
      <c r="J315" s="0">
        <v>5</v>
      </c>
    </row>
    <row r="316" spans="1:10" customHeight="0">
      <c r="A316" s="0">
        <f>HYPERLINK("https://dl.dropboxusercontent.com/scl/fi/wc83bsfu0cwm2hrxknk8v/f22-37bc.jpg?rlkey=t60cqobc13jchrxn1hg3yf2kv&amp;dl=0","Click to download Image")</f>
      </c>
      <c r="B316" s="0">
        <f>HYPERLINK("https://dl.dropboxusercontent.com/scl/fi/7wjtw95zez3ntwrta28bz/womens-pullover-size-chartselowen.jpg?rlkey=3frn91761rrga5ld85q204vjf&amp;dl=0","Click to download SizeChart")</f>
      </c>
      <c r="C316" s="0" t="inlineStr">
        <is>
          <t>Elowen Women's Pullover</t>
        </is>
      </c>
      <c r="D316" s="1">
        <v>127110</v>
      </c>
      <c r="E316" s="0" t="inlineStr">
        <is>
          <t>IOWA ELOWEN W ND:127110B-M</t>
        </is>
      </c>
      <c r="F316" s="2">
        <v>800127110053</v>
      </c>
      <c r="G316" s="0" t="inlineStr">
        <is>
          <t>WOMENS</t>
        </is>
      </c>
      <c r="H316" s="0" t="inlineStr">
        <is>
          <t>M</t>
        </is>
      </c>
      <c r="I316" s="0">
        <v>54.99</v>
      </c>
      <c r="J316" s="0">
        <v>4</v>
      </c>
    </row>
    <row r="317" spans="1:10" customHeight="0">
      <c r="A317" s="0">
        <f>HYPERLINK("https://dl.dropboxusercontent.com/scl/fi/wc83bsfu0cwm2hrxknk8v/f22-37bc.jpg?rlkey=t60cqobc13jchrxn1hg3yf2kv&amp;dl=0","Click to download Image")</f>
      </c>
      <c r="B317" s="0">
        <f>HYPERLINK("https://dl.dropboxusercontent.com/scl/fi/7wjtw95zez3ntwrta28bz/womens-pullover-size-chartselowen.jpg?rlkey=3frn91761rrga5ld85q204vjf&amp;dl=0","Click to download SizeChart")</f>
      </c>
      <c r="C317" s="0" t="inlineStr">
        <is>
          <t>Elowen Women's Pullover</t>
        </is>
      </c>
      <c r="D317" s="1">
        <v>127110</v>
      </c>
      <c r="E317" s="0" t="inlineStr">
        <is>
          <t>IOWA ELOWEN W ND:127110C-L</t>
        </is>
      </c>
      <c r="F317" s="2">
        <v>800127110060</v>
      </c>
      <c r="G317" s="0" t="inlineStr">
        <is>
          <t>WOMENS</t>
        </is>
      </c>
      <c r="H317" s="0" t="inlineStr">
        <is>
          <t>L</t>
        </is>
      </c>
      <c r="I317" s="0">
        <v>54.99</v>
      </c>
      <c r="J317" s="0">
        <v>6</v>
      </c>
    </row>
    <row r="318" spans="1:10" customHeight="0">
      <c r="A318" s="0">
        <f>HYPERLINK("https://dl.dropboxusercontent.com/scl/fi/wc83bsfu0cwm2hrxknk8v/f22-37bc.jpg?rlkey=t60cqobc13jchrxn1hg3yf2kv&amp;dl=0","Click to download Image")</f>
      </c>
      <c r="B318" s="0">
        <f>HYPERLINK("https://dl.dropboxusercontent.com/scl/fi/7wjtw95zez3ntwrta28bz/womens-pullover-size-chartselowen.jpg?rlkey=3frn91761rrga5ld85q204vjf&amp;dl=0","Click to download SizeChart")</f>
      </c>
      <c r="C318" s="0" t="inlineStr">
        <is>
          <t>Elowen Women's Pullover</t>
        </is>
      </c>
      <c r="D318" s="1">
        <v>127110</v>
      </c>
      <c r="E318" s="0" t="inlineStr">
        <is>
          <t>IOWA ELOWEN W ND:127110D-XL</t>
        </is>
      </c>
      <c r="F318" s="2">
        <v>800127110077</v>
      </c>
      <c r="G318" s="0" t="inlineStr">
        <is>
          <t>WOMENS</t>
        </is>
      </c>
      <c r="H318" s="0" t="inlineStr">
        <is>
          <t>XL</t>
        </is>
      </c>
      <c r="I318" s="0">
        <v>54.99</v>
      </c>
      <c r="J318" s="0">
        <v>0</v>
      </c>
    </row>
    <row r="319" spans="1:10" customHeight="0">
      <c r="A319" s="0">
        <f>HYPERLINK("https://dl.dropboxusercontent.com/scl/fi/wc83bsfu0cwm2hrxknk8v/f22-37bc.jpg?rlkey=t60cqobc13jchrxn1hg3yf2kv&amp;dl=0","Click to download Image")</f>
      </c>
      <c r="B319" s="0">
        <f>HYPERLINK("https://dl.dropboxusercontent.com/scl/fi/7wjtw95zez3ntwrta28bz/womens-pullover-size-chartselowen.jpg?rlkey=3frn91761rrga5ld85q204vjf&amp;dl=0","Click to download SizeChart")</f>
      </c>
      <c r="C319" s="0" t="inlineStr">
        <is>
          <t>Elowen Women's Pullover</t>
        </is>
      </c>
      <c r="D319" s="1">
        <v>127110</v>
      </c>
      <c r="E319" s="0" t="inlineStr">
        <is>
          <t>IOWA ELOWEN W ND:127110E-2XL</t>
        </is>
      </c>
      <c r="F319" s="2">
        <v>800127110084</v>
      </c>
      <c r="G319" s="0" t="inlineStr">
        <is>
          <t>WOMENS</t>
        </is>
      </c>
      <c r="H319" s="0" t="inlineStr">
        <is>
          <t>2XL</t>
        </is>
      </c>
      <c r="I319" s="0">
        <v>54.99</v>
      </c>
      <c r="J319" s="0">
        <v>2</v>
      </c>
    </row>
    <row r="320" spans="1:10" customHeight="0">
      <c r="A320" s="0">
        <f>HYPERLINK("https://dl.dropboxusercontent.com/scl/fi/wc83bsfu0cwm2hrxknk8v/f22-37bc.jpg?rlkey=t60cqobc13jchrxn1hg3yf2kv&amp;dl=0","Click to download Image")</f>
      </c>
      <c r="B320" s="0">
        <f>HYPERLINK("https://dl.dropboxusercontent.com/scl/fi/7wjtw95zez3ntwrta28bz/womens-pullover-size-chartselowen.jpg?rlkey=3frn91761rrga5ld85q204vjf&amp;dl=0","Click to download SizeChart")</f>
      </c>
      <c r="C320" s="0" t="inlineStr">
        <is>
          <t>Elowen Women's Pullover</t>
        </is>
      </c>
      <c r="D320" s="1">
        <v>127110</v>
      </c>
      <c r="E320" s="0" t="inlineStr">
        <is>
          <t>IOWA ELOWEN W ND:127110F-3XL</t>
        </is>
      </c>
      <c r="F320" s="2">
        <v>800127110091</v>
      </c>
      <c r="G320" s="0" t="inlineStr">
        <is>
          <t>WOMENS</t>
        </is>
      </c>
      <c r="H320" s="0" t="inlineStr">
        <is>
          <t>3XL</t>
        </is>
      </c>
      <c r="I320" s="0">
        <v>54.99</v>
      </c>
      <c r="J320" s="0">
        <v>2</v>
      </c>
    </row>
    <row r="321" spans="1:10" customHeight="0">
      <c r="A321" s="0">
        <f>HYPERLINK("https://dl.dropboxusercontent.com/scl/fi/wc83bsfu0cwm2hrxknk8v/f22-37bc.jpg?rlkey=t60cqobc13jchrxn1hg3yf2kv&amp;dl=0","Click to download Image")</f>
      </c>
      <c r="B321" s="0">
        <f>HYPERLINK("https://dl.dropboxusercontent.com/scl/fi/7wjtw95zez3ntwrta28bz/womens-pullover-size-chartselowen.jpg?rlkey=3frn91761rrga5ld85q204vjf&amp;dl=0","Click to download SizeChart")</f>
      </c>
      <c r="C321" s="0" t="inlineStr">
        <is>
          <t>Elowen Women's Pullover</t>
        </is>
      </c>
      <c r="D321" s="1">
        <v>127110</v>
      </c>
      <c r="E321" s="0" t="inlineStr">
        <is>
          <t>IOWA ELOWEN W ND 12PK:127110Z-12PK</t>
        </is>
      </c>
      <c r="F321" s="2">
        <v>800127110992</v>
      </c>
      <c r="G321" s="0" t="inlineStr">
        <is>
          <t>WOMENS</t>
        </is>
      </c>
      <c r="H321" s="0" t="inlineStr">
        <is>
          <t>12 PACK</t>
        </is>
      </c>
      <c r="I321" s="0">
        <v>528</v>
      </c>
      <c r="J321" s="0">
        <v>0</v>
      </c>
    </row>
    <row r="322" spans="1:10" customHeight="0">
      <c r="A322" s="0">
        <f>HYPERLINK("https://dl.dropboxusercontent.com/scl/fi/0zf096ikoik5efjf2h43p/everest39123.jpg?rlkey=mq09n4a7f2irg14gszg5j9hwy&amp;dl=0","Click to download Image")</f>
      </c>
      <c r="C322" s="0" t="inlineStr">
        <is>
          <t>Everest Womens Nano Loft Vest</t>
        </is>
      </c>
      <c r="D322" s="1">
        <v>129571</v>
      </c>
      <c r="E322" s="0" t="inlineStr">
        <is>
          <t>IOWA EVERES W BK:129571A-S</t>
        </is>
      </c>
      <c r="F322" s="2">
        <v>800129571043</v>
      </c>
      <c r="G322" s="0" t="inlineStr">
        <is>
          <t>WOMENS</t>
        </is>
      </c>
      <c r="H322" s="0" t="inlineStr">
        <is>
          <t>S</t>
        </is>
      </c>
      <c r="I322" s="0">
        <v>79.99</v>
      </c>
      <c r="J322" s="0">
        <v>8</v>
      </c>
    </row>
    <row r="323" spans="1:10" customHeight="0">
      <c r="A323" s="0">
        <f>HYPERLINK("https://dl.dropboxusercontent.com/scl/fi/0zf096ikoik5efjf2h43p/everest39123.jpg?rlkey=mq09n4a7f2irg14gszg5j9hwy&amp;dl=0","Click to download Image")</f>
      </c>
      <c r="C323" s="0" t="inlineStr">
        <is>
          <t>Everest Womens Nano Loft Vest</t>
        </is>
      </c>
      <c r="D323" s="1">
        <v>129571</v>
      </c>
      <c r="E323" s="0" t="inlineStr">
        <is>
          <t>IOWA EVERES W BK:129571B-M</t>
        </is>
      </c>
      <c r="F323" s="2">
        <v>800129571050</v>
      </c>
      <c r="G323" s="0" t="inlineStr">
        <is>
          <t>WOMENS</t>
        </is>
      </c>
      <c r="H323" s="0" t="inlineStr">
        <is>
          <t>M</t>
        </is>
      </c>
      <c r="I323" s="0">
        <v>79.99</v>
      </c>
      <c r="J323" s="0">
        <v>13</v>
      </c>
    </row>
    <row r="324" spans="1:10" customHeight="0">
      <c r="A324" s="0">
        <f>HYPERLINK("https://dl.dropboxusercontent.com/scl/fi/0zf096ikoik5efjf2h43p/everest39123.jpg?rlkey=mq09n4a7f2irg14gszg5j9hwy&amp;dl=0","Click to download Image")</f>
      </c>
      <c r="C324" s="0" t="inlineStr">
        <is>
          <t>Everest Womens Nano Loft Vest</t>
        </is>
      </c>
      <c r="D324" s="1">
        <v>129571</v>
      </c>
      <c r="E324" s="0" t="inlineStr">
        <is>
          <t>IOWA EVERES W BK:129571C-L</t>
        </is>
      </c>
      <c r="F324" s="2">
        <v>800129571067</v>
      </c>
      <c r="G324" s="0" t="inlineStr">
        <is>
          <t>WOMENS</t>
        </is>
      </c>
      <c r="H324" s="0" t="inlineStr">
        <is>
          <t>L</t>
        </is>
      </c>
      <c r="I324" s="0">
        <v>79.99</v>
      </c>
      <c r="J324" s="0">
        <v>7</v>
      </c>
    </row>
    <row r="325" spans="1:10" customHeight="0">
      <c r="A325" s="0">
        <f>HYPERLINK("https://dl.dropboxusercontent.com/scl/fi/0zf096ikoik5efjf2h43p/everest39123.jpg?rlkey=mq09n4a7f2irg14gszg5j9hwy&amp;dl=0","Click to download Image")</f>
      </c>
      <c r="C325" s="0" t="inlineStr">
        <is>
          <t>Everest Womens Nano Loft Vest</t>
        </is>
      </c>
      <c r="D325" s="1">
        <v>129571</v>
      </c>
      <c r="E325" s="0" t="inlineStr">
        <is>
          <t>IOWA EVERES W BK:129571D-XL</t>
        </is>
      </c>
      <c r="F325" s="2">
        <v>800129571074</v>
      </c>
      <c r="G325" s="0" t="inlineStr">
        <is>
          <t>WOMENS</t>
        </is>
      </c>
      <c r="H325" s="0" t="inlineStr">
        <is>
          <t>XL</t>
        </is>
      </c>
      <c r="I325" s="0">
        <v>79.99</v>
      </c>
      <c r="J325" s="0">
        <v>5</v>
      </c>
    </row>
    <row r="326" spans="1:10" customHeight="0">
      <c r="A326" s="0">
        <f>HYPERLINK("https://dl.dropboxusercontent.com/scl/fi/0zf096ikoik5efjf2h43p/everest39123.jpg?rlkey=mq09n4a7f2irg14gszg5j9hwy&amp;dl=0","Click to download Image")</f>
      </c>
      <c r="C326" s="0" t="inlineStr">
        <is>
          <t>Everest Womens Nano Loft Vest</t>
        </is>
      </c>
      <c r="D326" s="1">
        <v>129571</v>
      </c>
      <c r="E326" s="0" t="inlineStr">
        <is>
          <t>IOWA EVERES W BK:129571E-2XL</t>
        </is>
      </c>
      <c r="F326" s="2">
        <v>800129571081</v>
      </c>
      <c r="G326" s="0" t="inlineStr">
        <is>
          <t>WOMENS</t>
        </is>
      </c>
      <c r="H326" s="0" t="inlineStr">
        <is>
          <t>2XL</t>
        </is>
      </c>
      <c r="I326" s="0">
        <v>81.99</v>
      </c>
      <c r="J326" s="0">
        <v>0</v>
      </c>
    </row>
    <row r="327" spans="1:10" customHeight="0">
      <c r="A327" s="0">
        <f>HYPERLINK("https://dl.dropboxusercontent.com/scl/fi/0zf096ikoik5efjf2h43p/everest39123.jpg?rlkey=mq09n4a7f2irg14gszg5j9hwy&amp;dl=0","Click to download Image")</f>
      </c>
      <c r="C327" s="0" t="inlineStr">
        <is>
          <t>Everest Womens Nano Loft Vest</t>
        </is>
      </c>
      <c r="D327" s="1">
        <v>129571</v>
      </c>
      <c r="E327" s="0" t="inlineStr">
        <is>
          <t>IOWA EVERES W BK:129571F-3XL</t>
        </is>
      </c>
      <c r="F327" s="2">
        <v>800129571098</v>
      </c>
      <c r="G327" s="0" t="inlineStr">
        <is>
          <t>WOMENS</t>
        </is>
      </c>
      <c r="H327" s="0" t="inlineStr">
        <is>
          <t>3XL</t>
        </is>
      </c>
      <c r="I327" s="0">
        <v>81.99</v>
      </c>
      <c r="J327" s="0">
        <v>0</v>
      </c>
    </row>
    <row r="328" spans="1:10" customHeight="0">
      <c r="A328" s="0">
        <f>HYPERLINK("https://dl.dropboxusercontent.com/scl/fi/0zf096ikoik5efjf2h43p/everest39123.jpg?rlkey=mq09n4a7f2irg14gszg5j9hwy&amp;dl=0","Click to download Image")</f>
      </c>
      <c r="C328" s="0" t="inlineStr">
        <is>
          <t>Everest Womens Nano Loft Vest</t>
        </is>
      </c>
      <c r="D328" s="1">
        <v>129571</v>
      </c>
      <c r="E328" s="0" t="inlineStr">
        <is>
          <t>IOWA EVERES W BK 12PK:129571AA3-2XS</t>
        </is>
      </c>
      <c r="F328" s="2">
        <v>800129571029</v>
      </c>
      <c r="G328" s="0" t="inlineStr">
        <is>
          <t>WOMENS</t>
        </is>
      </c>
      <c r="H328" s="0" t="inlineStr">
        <is>
          <t>12 PACK</t>
        </is>
      </c>
      <c r="I328" s="0">
        <v>768</v>
      </c>
      <c r="J328" s="0">
        <v>0</v>
      </c>
    </row>
    <row r="329" spans="1:10" customHeight="0">
      <c r="A329" s="0">
        <f>HYPERLINK("https://dl.dropboxusercontent.com/scl/fi/lzgq6dg031kyem30jyp36/f22-90bc2.jpg?rlkey=4sw3ayufaklzdv79nrs6fq39y&amp;dl=0","Click to download Image")</f>
      </c>
      <c r="B329" s="0">
        <f>HYPERLINK("https://dl.dropboxusercontent.com/scl/fi/bgx2g9ueo226ud22kwlhi/mens-hoodie-size-chartsfielder-kenzo.jpg?rlkey=q9smrrvjre79ht9es3nxm5ixb&amp;dl=0","Click to download SizeChart")</f>
      </c>
      <c r="C329" s="0" t="inlineStr">
        <is>
          <t>Fielder Men's Hoodie</t>
        </is>
      </c>
      <c r="D329" s="1">
        <v>126221</v>
      </c>
      <c r="E329" s="0" t="inlineStr">
        <is>
          <t>IOWA FIELDE M CO:126221A-S</t>
        </is>
      </c>
      <c r="F329" s="2">
        <v>800126221040</v>
      </c>
      <c r="G329" s="0" t="inlineStr">
        <is>
          <t>MENS</t>
        </is>
      </c>
      <c r="H329" s="0" t="inlineStr">
        <is>
          <t>S</t>
        </is>
      </c>
      <c r="I329" s="0">
        <v>59.99</v>
      </c>
      <c r="J329" s="0">
        <v>0</v>
      </c>
    </row>
    <row r="330" spans="1:10" customHeight="0">
      <c r="A330" s="0">
        <f>HYPERLINK("https://dl.dropboxusercontent.com/scl/fi/lzgq6dg031kyem30jyp36/f22-90bc2.jpg?rlkey=4sw3ayufaklzdv79nrs6fq39y&amp;dl=0","Click to download Image")</f>
      </c>
      <c r="B330" s="0">
        <f>HYPERLINK("https://dl.dropboxusercontent.com/scl/fi/bgx2g9ueo226ud22kwlhi/mens-hoodie-size-chartsfielder-kenzo.jpg?rlkey=q9smrrvjre79ht9es3nxm5ixb&amp;dl=0","Click to download SizeChart")</f>
      </c>
      <c r="C330" s="0" t="inlineStr">
        <is>
          <t>Fielder Men's Hoodie</t>
        </is>
      </c>
      <c r="D330" s="1">
        <v>126221</v>
      </c>
      <c r="E330" s="0" t="inlineStr">
        <is>
          <t>IOWA FIELDE M CO:126221B-M</t>
        </is>
      </c>
      <c r="F330" s="2">
        <v>800126221057</v>
      </c>
      <c r="G330" s="0" t="inlineStr">
        <is>
          <t>MENS</t>
        </is>
      </c>
      <c r="H330" s="0" t="inlineStr">
        <is>
          <t>M</t>
        </is>
      </c>
      <c r="I330" s="0">
        <v>59.99</v>
      </c>
      <c r="J330" s="0">
        <v>1</v>
      </c>
    </row>
    <row r="331" spans="1:10" customHeight="0">
      <c r="A331" s="0">
        <f>HYPERLINK("https://dl.dropboxusercontent.com/scl/fi/lzgq6dg031kyem30jyp36/f22-90bc2.jpg?rlkey=4sw3ayufaklzdv79nrs6fq39y&amp;dl=0","Click to download Image")</f>
      </c>
      <c r="B331" s="0">
        <f>HYPERLINK("https://dl.dropboxusercontent.com/scl/fi/bgx2g9ueo226ud22kwlhi/mens-hoodie-size-chartsfielder-kenzo.jpg?rlkey=q9smrrvjre79ht9es3nxm5ixb&amp;dl=0","Click to download SizeChart")</f>
      </c>
      <c r="C331" s="0" t="inlineStr">
        <is>
          <t>Fielder Men's Hoodie</t>
        </is>
      </c>
      <c r="D331" s="1">
        <v>126221</v>
      </c>
      <c r="E331" s="0" t="inlineStr">
        <is>
          <t>IOWA FIELDE M CO:126221C-L</t>
        </is>
      </c>
      <c r="F331" s="2">
        <v>800126221064</v>
      </c>
      <c r="G331" s="0" t="inlineStr">
        <is>
          <t>MENS</t>
        </is>
      </c>
      <c r="H331" s="0" t="inlineStr">
        <is>
          <t>L</t>
        </is>
      </c>
      <c r="I331" s="0">
        <v>59.99</v>
      </c>
      <c r="J331" s="0">
        <v>3</v>
      </c>
    </row>
    <row r="332" spans="1:10" customHeight="0">
      <c r="A332" s="0">
        <f>HYPERLINK("https://dl.dropboxusercontent.com/scl/fi/lzgq6dg031kyem30jyp36/f22-90bc2.jpg?rlkey=4sw3ayufaklzdv79nrs6fq39y&amp;dl=0","Click to download Image")</f>
      </c>
      <c r="B332" s="0">
        <f>HYPERLINK("https://dl.dropboxusercontent.com/scl/fi/bgx2g9ueo226ud22kwlhi/mens-hoodie-size-chartsfielder-kenzo.jpg?rlkey=q9smrrvjre79ht9es3nxm5ixb&amp;dl=0","Click to download SizeChart")</f>
      </c>
      <c r="C332" s="0" t="inlineStr">
        <is>
          <t>Fielder Men's Hoodie</t>
        </is>
      </c>
      <c r="D332" s="1">
        <v>126221</v>
      </c>
      <c r="E332" s="0" t="inlineStr">
        <is>
          <t>IOWA FIELDE M CO:126221D-XL</t>
        </is>
      </c>
      <c r="F332" s="2">
        <v>800126221071</v>
      </c>
      <c r="G332" s="0" t="inlineStr">
        <is>
          <t>MENS</t>
        </is>
      </c>
      <c r="H332" s="0" t="inlineStr">
        <is>
          <t>XL</t>
        </is>
      </c>
      <c r="I332" s="0">
        <v>59.99</v>
      </c>
      <c r="J332" s="0">
        <v>16</v>
      </c>
    </row>
    <row r="333" spans="1:10" customHeight="0">
      <c r="A333" s="0">
        <f>HYPERLINK("https://dl.dropboxusercontent.com/scl/fi/lzgq6dg031kyem30jyp36/f22-90bc2.jpg?rlkey=4sw3ayufaklzdv79nrs6fq39y&amp;dl=0","Click to download Image")</f>
      </c>
      <c r="B333" s="0">
        <f>HYPERLINK("https://dl.dropboxusercontent.com/scl/fi/bgx2g9ueo226ud22kwlhi/mens-hoodie-size-chartsfielder-kenzo.jpg?rlkey=q9smrrvjre79ht9es3nxm5ixb&amp;dl=0","Click to download SizeChart")</f>
      </c>
      <c r="C333" s="0" t="inlineStr">
        <is>
          <t>Fielder Men's Hoodie</t>
        </is>
      </c>
      <c r="D333" s="1">
        <v>126221</v>
      </c>
      <c r="E333" s="0" t="inlineStr">
        <is>
          <t>IOWA FIELDE M CO:126221E-2XL</t>
        </is>
      </c>
      <c r="F333" s="2">
        <v>800126221088</v>
      </c>
      <c r="G333" s="0" t="inlineStr">
        <is>
          <t>MENS</t>
        </is>
      </c>
      <c r="H333" s="0" t="inlineStr">
        <is>
          <t>2XL</t>
        </is>
      </c>
      <c r="I333" s="0">
        <v>59.99</v>
      </c>
      <c r="J333" s="0">
        <v>0</v>
      </c>
    </row>
    <row r="334" spans="1:10" customHeight="0">
      <c r="A334" s="0">
        <f>HYPERLINK("https://dl.dropboxusercontent.com/scl/fi/lzgq6dg031kyem30jyp36/f22-90bc2.jpg?rlkey=4sw3ayufaklzdv79nrs6fq39y&amp;dl=0","Click to download Image")</f>
      </c>
      <c r="B334" s="0">
        <f>HYPERLINK("https://dl.dropboxusercontent.com/scl/fi/bgx2g9ueo226ud22kwlhi/mens-hoodie-size-chartsfielder-kenzo.jpg?rlkey=q9smrrvjre79ht9es3nxm5ixb&amp;dl=0","Click to download SizeChart")</f>
      </c>
      <c r="C334" s="0" t="inlineStr">
        <is>
          <t>Fielder Men's Hoodie</t>
        </is>
      </c>
      <c r="D334" s="1">
        <v>126221</v>
      </c>
      <c r="E334" s="0" t="inlineStr">
        <is>
          <t>IOWA FIELDE M CO:126221F-3XL</t>
        </is>
      </c>
      <c r="F334" s="2">
        <v>800126221095</v>
      </c>
      <c r="G334" s="0" t="inlineStr">
        <is>
          <t>MENS</t>
        </is>
      </c>
      <c r="H334" s="0" t="inlineStr">
        <is>
          <t>3XL</t>
        </is>
      </c>
      <c r="I334" s="0">
        <v>59.99</v>
      </c>
      <c r="J334" s="0">
        <v>0</v>
      </c>
    </row>
    <row r="335" spans="1:10" customHeight="0">
      <c r="A335" s="0">
        <f>HYPERLINK("https://dl.dropboxusercontent.com/scl/fi/lzgq6dg031kyem30jyp36/f22-90bc2.jpg?rlkey=4sw3ayufaklzdv79nrs6fq39y&amp;dl=0","Click to download Image")</f>
      </c>
      <c r="B335" s="0">
        <f>HYPERLINK("https://dl.dropboxusercontent.com/scl/fi/bgx2g9ueo226ud22kwlhi/mens-hoodie-size-chartsfielder-kenzo.jpg?rlkey=q9smrrvjre79ht9es3nxm5ixb&amp;dl=0","Click to download SizeChart")</f>
      </c>
      <c r="C335" s="0" t="inlineStr">
        <is>
          <t>Fielder Men's Hoodie</t>
        </is>
      </c>
      <c r="D335" s="1">
        <v>126221</v>
      </c>
      <c r="E335" s="0" t="inlineStr">
        <is>
          <t>IOWA FIELDE M CO 12PK:126221Z-12PK</t>
        </is>
      </c>
      <c r="F335" s="2">
        <v>800126221996</v>
      </c>
      <c r="G335" s="0" t="inlineStr">
        <is>
          <t>MENS</t>
        </is>
      </c>
      <c r="H335" s="0" t="inlineStr">
        <is>
          <t>12 PACK</t>
        </is>
      </c>
      <c r="I335" s="0">
        <v>576</v>
      </c>
      <c r="J335" s="0">
        <v>0</v>
      </c>
    </row>
    <row r="336" spans="1:10" customHeight="0">
      <c r="A336" s="0">
        <f>HYPERLINK("https://dl.dropboxusercontent.com/scl/fi/csgvddtso1kdivsxu0nkb/f22-107bc.jpg?rlkey=ma5b8pxj0k90v0dwkomozz2cf&amp;dl=0","Click to download Image")</f>
      </c>
      <c r="B336" s="0">
        <f>HYPERLINK("https://dl.dropboxusercontent.com/scl/fi/p6sgoy745gvc4bcfqv9pd/womens-pullover-size-chartslydia.jpg?rlkey=goz39y3icmj8mwtm5yq6nquei&amp;dl=0","Click to download SizeChart")</f>
      </c>
      <c r="C336" s="0" t="inlineStr">
        <is>
          <t>Lydia Women's Pullover</t>
        </is>
      </c>
      <c r="D336" s="1">
        <v>125906</v>
      </c>
      <c r="E336" s="0" t="inlineStr">
        <is>
          <t>IOWA LYDIA W BK:125906A-S</t>
        </is>
      </c>
      <c r="F336" s="2">
        <v>800125906047</v>
      </c>
      <c r="G336" s="0" t="inlineStr">
        <is>
          <t>WOMENS</t>
        </is>
      </c>
      <c r="H336" s="0" t="inlineStr">
        <is>
          <t>S</t>
        </is>
      </c>
      <c r="I336" s="0">
        <v>59.99</v>
      </c>
      <c r="J336" s="0">
        <v>4</v>
      </c>
    </row>
    <row r="337" spans="1:10" customHeight="0">
      <c r="A337" s="0">
        <f>HYPERLINK("https://dl.dropboxusercontent.com/scl/fi/csgvddtso1kdivsxu0nkb/f22-107bc.jpg?rlkey=ma5b8pxj0k90v0dwkomozz2cf&amp;dl=0","Click to download Image")</f>
      </c>
      <c r="B337" s="0">
        <f>HYPERLINK("https://dl.dropboxusercontent.com/scl/fi/p6sgoy745gvc4bcfqv9pd/womens-pullover-size-chartslydia.jpg?rlkey=goz39y3icmj8mwtm5yq6nquei&amp;dl=0","Click to download SizeChart")</f>
      </c>
      <c r="C337" s="0" t="inlineStr">
        <is>
          <t>Lydia Women's Pullover</t>
        </is>
      </c>
      <c r="D337" s="1">
        <v>125906</v>
      </c>
      <c r="E337" s="0" t="inlineStr">
        <is>
          <t>IOWA LYDIA W BK:125906B-M</t>
        </is>
      </c>
      <c r="F337" s="2">
        <v>800125906054</v>
      </c>
      <c r="G337" s="0" t="inlineStr">
        <is>
          <t>WOMENS</t>
        </is>
      </c>
      <c r="H337" s="0" t="inlineStr">
        <is>
          <t>M</t>
        </is>
      </c>
      <c r="I337" s="0">
        <v>59.99</v>
      </c>
      <c r="J337" s="0">
        <v>6</v>
      </c>
    </row>
    <row r="338" spans="1:10" customHeight="0">
      <c r="A338" s="0">
        <f>HYPERLINK("https://dl.dropboxusercontent.com/scl/fi/csgvddtso1kdivsxu0nkb/f22-107bc.jpg?rlkey=ma5b8pxj0k90v0dwkomozz2cf&amp;dl=0","Click to download Image")</f>
      </c>
      <c r="B338" s="0">
        <f>HYPERLINK("https://dl.dropboxusercontent.com/scl/fi/p6sgoy745gvc4bcfqv9pd/womens-pullover-size-chartslydia.jpg?rlkey=goz39y3icmj8mwtm5yq6nquei&amp;dl=0","Click to download SizeChart")</f>
      </c>
      <c r="C338" s="0" t="inlineStr">
        <is>
          <t>Lydia Women's Pullover</t>
        </is>
      </c>
      <c r="D338" s="1">
        <v>125906</v>
      </c>
      <c r="E338" s="0" t="inlineStr">
        <is>
          <t>IOWA LYDIA W BK:125906C-L</t>
        </is>
      </c>
      <c r="F338" s="2">
        <v>800125906061</v>
      </c>
      <c r="G338" s="0" t="inlineStr">
        <is>
          <t>WOMENS</t>
        </is>
      </c>
      <c r="H338" s="0" t="inlineStr">
        <is>
          <t>L</t>
        </is>
      </c>
      <c r="I338" s="0">
        <v>59.99</v>
      </c>
      <c r="J338" s="0">
        <v>0</v>
      </c>
    </row>
    <row r="339" spans="1:10" customHeight="0">
      <c r="A339" s="0">
        <f>HYPERLINK("https://dl.dropboxusercontent.com/scl/fi/csgvddtso1kdivsxu0nkb/f22-107bc.jpg?rlkey=ma5b8pxj0k90v0dwkomozz2cf&amp;dl=0","Click to download Image")</f>
      </c>
      <c r="B339" s="0">
        <f>HYPERLINK("https://dl.dropboxusercontent.com/scl/fi/p6sgoy745gvc4bcfqv9pd/womens-pullover-size-chartslydia.jpg?rlkey=goz39y3icmj8mwtm5yq6nquei&amp;dl=0","Click to download SizeChart")</f>
      </c>
      <c r="C339" s="0" t="inlineStr">
        <is>
          <t>Lydia Women's Pullover</t>
        </is>
      </c>
      <c r="D339" s="1">
        <v>125906</v>
      </c>
      <c r="E339" s="0" t="inlineStr">
        <is>
          <t>IOWA LYDIA W BK:125906D-XL</t>
        </is>
      </c>
      <c r="F339" s="2">
        <v>800125906078</v>
      </c>
      <c r="G339" s="0" t="inlineStr">
        <is>
          <t>WOMENS</t>
        </is>
      </c>
      <c r="H339" s="0" t="inlineStr">
        <is>
          <t>XL</t>
        </is>
      </c>
      <c r="I339" s="0">
        <v>59.99</v>
      </c>
      <c r="J339" s="0">
        <v>4</v>
      </c>
    </row>
    <row r="340" spans="1:10" customHeight="0">
      <c r="A340" s="0">
        <f>HYPERLINK("https://dl.dropboxusercontent.com/scl/fi/csgvddtso1kdivsxu0nkb/f22-107bc.jpg?rlkey=ma5b8pxj0k90v0dwkomozz2cf&amp;dl=0","Click to download Image")</f>
      </c>
      <c r="B340" s="0">
        <f>HYPERLINK("https://dl.dropboxusercontent.com/scl/fi/p6sgoy745gvc4bcfqv9pd/womens-pullover-size-chartslydia.jpg?rlkey=goz39y3icmj8mwtm5yq6nquei&amp;dl=0","Click to download SizeChart")</f>
      </c>
      <c r="C340" s="0" t="inlineStr">
        <is>
          <t>Lydia Women's Pullover</t>
        </is>
      </c>
      <c r="D340" s="1">
        <v>125906</v>
      </c>
      <c r="E340" s="0" t="inlineStr">
        <is>
          <t>IOWA LYDIA W BK:125906E-2XL</t>
        </is>
      </c>
      <c r="F340" s="2">
        <v>800125906085</v>
      </c>
      <c r="G340" s="0" t="inlineStr">
        <is>
          <t>WOMENS</t>
        </is>
      </c>
      <c r="H340" s="0" t="inlineStr">
        <is>
          <t>2XL</t>
        </is>
      </c>
      <c r="I340" s="0">
        <v>59.99</v>
      </c>
      <c r="J340" s="0">
        <v>5</v>
      </c>
    </row>
    <row r="341" spans="1:10" customHeight="0">
      <c r="A341" s="0">
        <f>HYPERLINK("https://dl.dropboxusercontent.com/scl/fi/csgvddtso1kdivsxu0nkb/f22-107bc.jpg?rlkey=ma5b8pxj0k90v0dwkomozz2cf&amp;dl=0","Click to download Image")</f>
      </c>
      <c r="B341" s="0">
        <f>HYPERLINK("https://dl.dropboxusercontent.com/scl/fi/p6sgoy745gvc4bcfqv9pd/womens-pullover-size-chartslydia.jpg?rlkey=goz39y3icmj8mwtm5yq6nquei&amp;dl=0","Click to download SizeChart")</f>
      </c>
      <c r="C341" s="0" t="inlineStr">
        <is>
          <t>Lydia Women's Pullover</t>
        </is>
      </c>
      <c r="D341" s="1">
        <v>125906</v>
      </c>
      <c r="E341" s="0" t="inlineStr">
        <is>
          <t>IOWA LYDIA W BK:125906F-3XL</t>
        </is>
      </c>
      <c r="F341" s="2">
        <v>800125906092</v>
      </c>
      <c r="G341" s="0" t="inlineStr">
        <is>
          <t>WOMENS</t>
        </is>
      </c>
      <c r="H341" s="0" t="inlineStr">
        <is>
          <t>3XL</t>
        </is>
      </c>
      <c r="I341" s="0">
        <v>59.99</v>
      </c>
      <c r="J341" s="0">
        <v>3</v>
      </c>
    </row>
    <row r="342" spans="1:10" customHeight="0">
      <c r="A342" s="0">
        <f>HYPERLINK("https://dl.dropboxusercontent.com/scl/fi/csgvddtso1kdivsxu0nkb/f22-107bc.jpg?rlkey=ma5b8pxj0k90v0dwkomozz2cf&amp;dl=0","Click to download Image")</f>
      </c>
      <c r="B342" s="0">
        <f>HYPERLINK("https://dl.dropboxusercontent.com/scl/fi/p6sgoy745gvc4bcfqv9pd/womens-pullover-size-chartslydia.jpg?rlkey=goz39y3icmj8mwtm5yq6nquei&amp;dl=0","Click to download SizeChart")</f>
      </c>
      <c r="C342" s="0" t="inlineStr">
        <is>
          <t>Lydia Women's Pullover</t>
        </is>
      </c>
      <c r="D342" s="1">
        <v>125906</v>
      </c>
      <c r="E342" s="0" t="inlineStr">
        <is>
          <t>IOWA LYDIA W BK 12PK:125906Z-12PK</t>
        </is>
      </c>
      <c r="F342" s="2">
        <v>800125906993</v>
      </c>
      <c r="G342" s="0" t="inlineStr">
        <is>
          <t>WOMENS</t>
        </is>
      </c>
      <c r="H342" s="0" t="inlineStr">
        <is>
          <t>12 PACK</t>
        </is>
      </c>
      <c r="I342" s="0">
        <v>576</v>
      </c>
      <c r="J342" s="0">
        <v>0</v>
      </c>
    </row>
    <row r="343" spans="1:10" customHeight="0">
      <c r="A343" s="0">
        <f>HYPERLINK("https://dl.dropboxusercontent.com/scl/fi/ijo2c9xokocjacatnnota/129034-f.jpg?rlkey=pe5m5i903xo123qjsscibsguq&amp;dl=0","Click to download Image")</f>
      </c>
      <c r="B343" s="0">
        <f>HYPERLINK("https://dl.dropboxusercontent.com/scl/fi/9r7rnmncpo3f4msmwvhq6/mens-bottoms-size-chartsmaker.jpg?rlkey=mu4buurzy2p4q47tf9ag24r7n&amp;dl=0","Click to download SizeChart")</f>
      </c>
      <c r="C343" s="0" t="inlineStr">
        <is>
          <t>Maker Men's Joggers</t>
        </is>
      </c>
      <c r="D343" s="1">
        <v>129034</v>
      </c>
      <c r="E343" s="0" t="inlineStr">
        <is>
          <t>IOWA MAKER M BK:129034A-S</t>
        </is>
      </c>
      <c r="F343" s="2">
        <v>800129034012</v>
      </c>
      <c r="G343" s="0" t="inlineStr">
        <is>
          <t>MENS</t>
        </is>
      </c>
      <c r="H343" s="0" t="inlineStr">
        <is>
          <t>S</t>
        </is>
      </c>
      <c r="I343" s="0">
        <v>39.99</v>
      </c>
      <c r="J343" s="0">
        <v>1</v>
      </c>
    </row>
    <row r="344" spans="1:10" customHeight="0">
      <c r="A344" s="0">
        <f>HYPERLINK("https://dl.dropboxusercontent.com/scl/fi/ijo2c9xokocjacatnnota/129034-f.jpg?rlkey=pe5m5i903xo123qjsscibsguq&amp;dl=0","Click to download Image")</f>
      </c>
      <c r="B344" s="0">
        <f>HYPERLINK("https://dl.dropboxusercontent.com/scl/fi/9r7rnmncpo3f4msmwvhq6/mens-bottoms-size-chartsmaker.jpg?rlkey=mu4buurzy2p4q47tf9ag24r7n&amp;dl=0","Click to download SizeChart")</f>
      </c>
      <c r="C344" s="0" t="inlineStr">
        <is>
          <t>Maker Men's Joggers</t>
        </is>
      </c>
      <c r="D344" s="1">
        <v>129034</v>
      </c>
      <c r="E344" s="0" t="inlineStr">
        <is>
          <t>IOWA MAKER M BK:129034B-M</t>
        </is>
      </c>
      <c r="F344" s="2">
        <v>800129034029</v>
      </c>
      <c r="G344" s="0" t="inlineStr">
        <is>
          <t>MENS</t>
        </is>
      </c>
      <c r="H344" s="0" t="inlineStr">
        <is>
          <t>M</t>
        </is>
      </c>
      <c r="I344" s="0">
        <v>39.99</v>
      </c>
      <c r="J344" s="0">
        <v>2</v>
      </c>
    </row>
    <row r="345" spans="1:10" customHeight="0">
      <c r="A345" s="0">
        <f>HYPERLINK("https://dl.dropboxusercontent.com/scl/fi/ijo2c9xokocjacatnnota/129034-f.jpg?rlkey=pe5m5i903xo123qjsscibsguq&amp;dl=0","Click to download Image")</f>
      </c>
      <c r="B345" s="0">
        <f>HYPERLINK("https://dl.dropboxusercontent.com/scl/fi/9r7rnmncpo3f4msmwvhq6/mens-bottoms-size-chartsmaker.jpg?rlkey=mu4buurzy2p4q47tf9ag24r7n&amp;dl=0","Click to download SizeChart")</f>
      </c>
      <c r="C345" s="0" t="inlineStr">
        <is>
          <t>Maker Men's Joggers</t>
        </is>
      </c>
      <c r="D345" s="1">
        <v>129034</v>
      </c>
      <c r="E345" s="0" t="inlineStr">
        <is>
          <t>IOWA MAKER M BK:129034C-L</t>
        </is>
      </c>
      <c r="F345" s="2">
        <v>800129034036</v>
      </c>
      <c r="G345" s="0" t="inlineStr">
        <is>
          <t>MENS</t>
        </is>
      </c>
      <c r="H345" s="0" t="inlineStr">
        <is>
          <t>L</t>
        </is>
      </c>
      <c r="I345" s="0">
        <v>39.99</v>
      </c>
      <c r="J345" s="0">
        <v>2</v>
      </c>
    </row>
    <row r="346" spans="1:10" customHeight="0">
      <c r="A346" s="0">
        <f>HYPERLINK("https://dl.dropboxusercontent.com/scl/fi/ijo2c9xokocjacatnnota/129034-f.jpg?rlkey=pe5m5i903xo123qjsscibsguq&amp;dl=0","Click to download Image")</f>
      </c>
      <c r="B346" s="0">
        <f>HYPERLINK("https://dl.dropboxusercontent.com/scl/fi/9r7rnmncpo3f4msmwvhq6/mens-bottoms-size-chartsmaker.jpg?rlkey=mu4buurzy2p4q47tf9ag24r7n&amp;dl=0","Click to download SizeChart")</f>
      </c>
      <c r="C346" s="0" t="inlineStr">
        <is>
          <t>Maker Men's Joggers</t>
        </is>
      </c>
      <c r="D346" s="1">
        <v>129034</v>
      </c>
      <c r="E346" s="0" t="inlineStr">
        <is>
          <t>IOWA MAKER M BK:129034D-XL</t>
        </is>
      </c>
      <c r="F346" s="2">
        <v>800129034043</v>
      </c>
      <c r="G346" s="0" t="inlineStr">
        <is>
          <t>MENS</t>
        </is>
      </c>
      <c r="H346" s="0" t="inlineStr">
        <is>
          <t>XL</t>
        </is>
      </c>
      <c r="I346" s="0">
        <v>39.99</v>
      </c>
      <c r="J346" s="0">
        <v>1</v>
      </c>
    </row>
    <row r="347" spans="1:10" customHeight="0">
      <c r="A347" s="0">
        <f>HYPERLINK("https://dl.dropboxusercontent.com/scl/fi/ijo2c9xokocjacatnnota/129034-f.jpg?rlkey=pe5m5i903xo123qjsscibsguq&amp;dl=0","Click to download Image")</f>
      </c>
      <c r="B347" s="0">
        <f>HYPERLINK("https://dl.dropboxusercontent.com/scl/fi/9r7rnmncpo3f4msmwvhq6/mens-bottoms-size-chartsmaker.jpg?rlkey=mu4buurzy2p4q47tf9ag24r7n&amp;dl=0","Click to download SizeChart")</f>
      </c>
      <c r="C347" s="0" t="inlineStr">
        <is>
          <t>Maker Men's Joggers</t>
        </is>
      </c>
      <c r="D347" s="1">
        <v>129034</v>
      </c>
      <c r="E347" s="0" t="inlineStr">
        <is>
          <t>IOWA MAKER M BK:129034E-2XL</t>
        </is>
      </c>
      <c r="F347" s="2">
        <v>800129034050</v>
      </c>
      <c r="G347" s="0" t="inlineStr">
        <is>
          <t>MENS</t>
        </is>
      </c>
      <c r="H347" s="0" t="inlineStr">
        <is>
          <t>2XL</t>
        </is>
      </c>
      <c r="I347" s="0">
        <v>41.99</v>
      </c>
      <c r="J347" s="0">
        <v>8</v>
      </c>
    </row>
    <row r="348" spans="1:10" customHeight="0">
      <c r="A348" s="0">
        <f>HYPERLINK("https://dl.dropboxusercontent.com/scl/fi/ijo2c9xokocjacatnnota/129034-f.jpg?rlkey=pe5m5i903xo123qjsscibsguq&amp;dl=0","Click to download Image")</f>
      </c>
      <c r="B348" s="0">
        <f>HYPERLINK("https://dl.dropboxusercontent.com/scl/fi/9r7rnmncpo3f4msmwvhq6/mens-bottoms-size-chartsmaker.jpg?rlkey=mu4buurzy2p4q47tf9ag24r7n&amp;dl=0","Click to download SizeChart")</f>
      </c>
      <c r="C348" s="0" t="inlineStr">
        <is>
          <t>Maker Men's Joggers</t>
        </is>
      </c>
      <c r="D348" s="1">
        <v>129034</v>
      </c>
      <c r="E348" s="0" t="inlineStr">
        <is>
          <t>IOWA MAKER M BK:129034F-3XL</t>
        </is>
      </c>
      <c r="F348" s="2">
        <v>800129034067</v>
      </c>
      <c r="G348" s="0" t="inlineStr">
        <is>
          <t>MENS</t>
        </is>
      </c>
      <c r="H348" s="0" t="inlineStr">
        <is>
          <t>3XL</t>
        </is>
      </c>
      <c r="I348" s="0">
        <v>41.99</v>
      </c>
      <c r="J348" s="0">
        <v>3</v>
      </c>
    </row>
    <row r="349" spans="1:10" customHeight="0">
      <c r="A349" s="0">
        <f>HYPERLINK("https://dl.dropboxusercontent.com/scl/fi/ijo2c9xokocjacatnnota/129034-f.jpg?rlkey=pe5m5i903xo123qjsscibsguq&amp;dl=0","Click to download Image")</f>
      </c>
      <c r="B349" s="0">
        <f>HYPERLINK("https://dl.dropboxusercontent.com/scl/fi/9r7rnmncpo3f4msmwvhq6/mens-bottoms-size-chartsmaker.jpg?rlkey=mu4buurzy2p4q47tf9ag24r7n&amp;dl=0","Click to download SizeChart")</f>
      </c>
      <c r="C349" s="0" t="inlineStr">
        <is>
          <t>Maker Men's Joggers</t>
        </is>
      </c>
      <c r="D349" s="1">
        <v>129034</v>
      </c>
      <c r="E349" s="0" t="inlineStr">
        <is>
          <t>IOWA MAKER M BK 12 PK:129034Z-12PK</t>
        </is>
      </c>
      <c r="F349" s="2">
        <v>800129034999</v>
      </c>
      <c r="G349" s="0" t="inlineStr">
        <is>
          <t>MENS</t>
        </is>
      </c>
      <c r="H349" s="0" t="inlineStr">
        <is>
          <t>12 PACK</t>
        </is>
      </c>
      <c r="I349" s="0">
        <v>390</v>
      </c>
      <c r="J349" s="0">
        <v>0</v>
      </c>
    </row>
    <row r="350" spans="1:10" customHeight="0">
      <c r="A350" s="0">
        <f>HYPERLINK("https://dl.dropboxusercontent.com/scl/fi/2ad5acs84l771eunt4md0/f22-05bc.jpg?rlkey=d52d9ptezph6pvuz8rrpgiewb&amp;dl=0","Click to download Image")</f>
      </c>
      <c r="C350" s="0" t="inlineStr">
        <is>
          <t>Maverick Youth Cap</t>
        </is>
      </c>
      <c r="D350" s="1">
        <v>126821</v>
      </c>
      <c r="E350" s="0" t="inlineStr">
        <is>
          <t>IOWA MAVERI Y BK:126821</t>
        </is>
      </c>
      <c r="F350" s="2">
        <v>700126821038</v>
      </c>
      <c r="G350" s="0" t="inlineStr">
        <is>
          <t>YOUTH</t>
        </is>
      </c>
      <c r="H350" s="0" t="inlineStr">
        <is>
          <t>STANDARD:55CM</t>
        </is>
      </c>
      <c r="I350" s="0">
        <v>24.99</v>
      </c>
      <c r="J350" s="0">
        <v>13</v>
      </c>
    </row>
    <row r="351" spans="1:10" customHeight="0">
      <c r="A351" s="0">
        <f>HYPERLINK("https://dl.dropboxusercontent.com/scl/fi/he32dkygcbuyg5gdcl2ix/f22-05bc.jpg?rlkey=ghxsfe0yc5309f521yawrba2j&amp;dl=0","Click to download Image")</f>
      </c>
      <c r="C351" s="0" t="inlineStr">
        <is>
          <t>Maverick Toddler Cap</t>
        </is>
      </c>
      <c r="D351" s="1">
        <v>131255</v>
      </c>
      <c r="E351" s="0" t="inlineStr">
        <is>
          <t>IOWA MAVERI T BK:131255</t>
        </is>
      </c>
      <c r="F351" s="2">
        <v>700131255002</v>
      </c>
      <c r="G351" s="0" t="inlineStr">
        <is>
          <t>TODDLER</t>
        </is>
      </c>
      <c r="H351" s="0" t="inlineStr">
        <is>
          <t>STANDARD:53CM</t>
        </is>
      </c>
      <c r="I351" s="0">
        <v>24.99</v>
      </c>
      <c r="J351" s="0">
        <v>1</v>
      </c>
    </row>
    <row r="352" spans="1:10" customHeight="0">
      <c r="A352" s="0">
        <f>HYPERLINK("https://dl.dropboxusercontent.com/scl/fi/aitg1mt5l8h7h058h655o/129398-af.jpg?rlkey=g9lck8knhc6eqesm8ah8oxnho&amp;dl=0","Click to download Image")</f>
      </c>
      <c r="C352" s="0" t="inlineStr">
        <is>
          <t>Nevaeh Youth Cap</t>
        </is>
      </c>
      <c r="D352" s="1">
        <v>129398</v>
      </c>
      <c r="E352" s="0" t="inlineStr">
        <is>
          <t>IOWA NEVAEH Y BK:129398</t>
        </is>
      </c>
      <c r="F352" s="2">
        <v>700129398032</v>
      </c>
      <c r="G352" s="0" t="inlineStr">
        <is>
          <t>YOUTH</t>
        </is>
      </c>
      <c r="H352" s="0" t="inlineStr">
        <is>
          <t>STANDARD:55CM</t>
        </is>
      </c>
      <c r="I352" s="0">
        <v>24.99</v>
      </c>
      <c r="J352" s="0">
        <v>17</v>
      </c>
    </row>
    <row r="353" spans="1:10" customHeight="0">
      <c r="A353" s="0">
        <f>HYPERLINK("https://dl.dropboxusercontent.com/scl/fi/ssmdiicarrthhm2jubrf2/129398-af.jpg?rlkey=nsmqvpny91ktll6vxmzliv6o8&amp;dl=0","Click to download Image")</f>
      </c>
      <c r="C353" s="0" t="inlineStr">
        <is>
          <t>Nevaeh Toddler Cap</t>
        </is>
      </c>
      <c r="D353" s="1">
        <v>131282</v>
      </c>
      <c r="E353" s="0" t="inlineStr">
        <is>
          <t>IOWA NEVAEH T BK:131282</t>
        </is>
      </c>
      <c r="F353" s="2">
        <v>700131282046</v>
      </c>
      <c r="G353" s="0" t="inlineStr">
        <is>
          <t>TODDLER</t>
        </is>
      </c>
      <c r="H353" s="0" t="inlineStr">
        <is>
          <t>STANDARD:53CM</t>
        </is>
      </c>
      <c r="I353" s="0">
        <v>24.99</v>
      </c>
      <c r="J353" s="0">
        <v>36</v>
      </c>
    </row>
    <row r="354" spans="1:10" customHeight="0">
      <c r="A354" s="0">
        <f>HYPERLINK("https://dl.dropboxusercontent.com/scl/fi/hoqce54impfe9fxj4si9x/f22-65bc.jpg?rlkey=a23jg4sm1iwh2y7lric7jd0ih&amp;dl=0","Click to download Image")</f>
      </c>
      <c r="B354" s="0">
        <f>HYPERLINK("https://dl.dropboxusercontent.com/scl/fi/7vi9n9iwwznsus1zzipkc/womens-size-chartsnicole.jpg?rlkey=eww3iiwpj8br1ulb5wsdniaib&amp;dl=0","Click to download SizeChart")</f>
      </c>
      <c r="C354" s="0" t="inlineStr">
        <is>
          <t>Nicole Women's Shorts</t>
        </is>
      </c>
      <c r="D354" s="1">
        <v>127057</v>
      </c>
      <c r="E354" s="0" t="inlineStr">
        <is>
          <t>IOWA NICOLE W BK:127057A-S</t>
        </is>
      </c>
      <c r="F354" s="2">
        <v>800127057013</v>
      </c>
      <c r="G354" s="0" t="inlineStr">
        <is>
          <t>WOMENS</t>
        </is>
      </c>
      <c r="H354" s="0" t="inlineStr">
        <is>
          <t>S</t>
        </is>
      </c>
      <c r="I354" s="0">
        <v>29.99</v>
      </c>
      <c r="J354" s="0">
        <v>1</v>
      </c>
    </row>
    <row r="355" spans="1:10" customHeight="0">
      <c r="A355" s="0">
        <f>HYPERLINK("https://dl.dropboxusercontent.com/scl/fi/hoqce54impfe9fxj4si9x/f22-65bc.jpg?rlkey=a23jg4sm1iwh2y7lric7jd0ih&amp;dl=0","Click to download Image")</f>
      </c>
      <c r="B355" s="0">
        <f>HYPERLINK("https://dl.dropboxusercontent.com/scl/fi/7vi9n9iwwznsus1zzipkc/womens-size-chartsnicole.jpg?rlkey=eww3iiwpj8br1ulb5wsdniaib&amp;dl=0","Click to download SizeChart")</f>
      </c>
      <c r="C355" s="0" t="inlineStr">
        <is>
          <t>Nicole Women's Shorts</t>
        </is>
      </c>
      <c r="D355" s="1">
        <v>127057</v>
      </c>
      <c r="E355" s="0" t="inlineStr">
        <is>
          <t>IOWA NICOLE W BK:127057B-M</t>
        </is>
      </c>
      <c r="F355" s="2">
        <v>800127057020</v>
      </c>
      <c r="G355" s="0" t="inlineStr">
        <is>
          <t>WOMENS</t>
        </is>
      </c>
      <c r="H355" s="0" t="inlineStr">
        <is>
          <t>M</t>
        </is>
      </c>
      <c r="I355" s="0">
        <v>29.99</v>
      </c>
      <c r="J355" s="0">
        <v>5</v>
      </c>
    </row>
    <row r="356" spans="1:10" customHeight="0">
      <c r="A356" s="0">
        <f>HYPERLINK("https://dl.dropboxusercontent.com/scl/fi/hoqce54impfe9fxj4si9x/f22-65bc.jpg?rlkey=a23jg4sm1iwh2y7lric7jd0ih&amp;dl=0","Click to download Image")</f>
      </c>
      <c r="B356" s="0">
        <f>HYPERLINK("https://dl.dropboxusercontent.com/scl/fi/7vi9n9iwwznsus1zzipkc/womens-size-chartsnicole.jpg?rlkey=eww3iiwpj8br1ulb5wsdniaib&amp;dl=0","Click to download SizeChart")</f>
      </c>
      <c r="C356" s="0" t="inlineStr">
        <is>
          <t>Nicole Women's Shorts</t>
        </is>
      </c>
      <c r="D356" s="1">
        <v>127057</v>
      </c>
      <c r="E356" s="0" t="inlineStr">
        <is>
          <t>IOWA NICOLE W BK:127057C-L</t>
        </is>
      </c>
      <c r="F356" s="2">
        <v>800127057037</v>
      </c>
      <c r="G356" s="0" t="inlineStr">
        <is>
          <t>WOMENS</t>
        </is>
      </c>
      <c r="H356" s="0" t="inlineStr">
        <is>
          <t>L</t>
        </is>
      </c>
      <c r="I356" s="0">
        <v>29.99</v>
      </c>
      <c r="J356" s="0">
        <v>0</v>
      </c>
    </row>
    <row r="357" spans="1:10" customHeight="0">
      <c r="A357" s="0">
        <f>HYPERLINK("https://dl.dropboxusercontent.com/scl/fi/hoqce54impfe9fxj4si9x/f22-65bc.jpg?rlkey=a23jg4sm1iwh2y7lric7jd0ih&amp;dl=0","Click to download Image")</f>
      </c>
      <c r="B357" s="0">
        <f>HYPERLINK("https://dl.dropboxusercontent.com/scl/fi/7vi9n9iwwznsus1zzipkc/womens-size-chartsnicole.jpg?rlkey=eww3iiwpj8br1ulb5wsdniaib&amp;dl=0","Click to download SizeChart")</f>
      </c>
      <c r="C357" s="0" t="inlineStr">
        <is>
          <t>Nicole Women's Shorts</t>
        </is>
      </c>
      <c r="D357" s="1">
        <v>127057</v>
      </c>
      <c r="E357" s="0" t="inlineStr">
        <is>
          <t>IOWA NICOLE W BK:127057D-XL</t>
        </is>
      </c>
      <c r="F357" s="2">
        <v>800127057044</v>
      </c>
      <c r="G357" s="0" t="inlineStr">
        <is>
          <t>WOMENS</t>
        </is>
      </c>
      <c r="H357" s="0" t="inlineStr">
        <is>
          <t>XL</t>
        </is>
      </c>
      <c r="I357" s="0">
        <v>29.99</v>
      </c>
      <c r="J357" s="0">
        <v>3</v>
      </c>
    </row>
    <row r="358" spans="1:10" customHeight="0">
      <c r="A358" s="0">
        <f>HYPERLINK("https://dl.dropboxusercontent.com/scl/fi/hoqce54impfe9fxj4si9x/f22-65bc.jpg?rlkey=a23jg4sm1iwh2y7lric7jd0ih&amp;dl=0","Click to download Image")</f>
      </c>
      <c r="B358" s="0">
        <f>HYPERLINK("https://dl.dropboxusercontent.com/scl/fi/7vi9n9iwwznsus1zzipkc/womens-size-chartsnicole.jpg?rlkey=eww3iiwpj8br1ulb5wsdniaib&amp;dl=0","Click to download SizeChart")</f>
      </c>
      <c r="C358" s="0" t="inlineStr">
        <is>
          <t>Nicole Women's Shorts</t>
        </is>
      </c>
      <c r="D358" s="1">
        <v>127057</v>
      </c>
      <c r="E358" s="0" t="inlineStr">
        <is>
          <t>IOWA NICOLE W BK:127057E-2XL</t>
        </is>
      </c>
      <c r="F358" s="2">
        <v>800127057051</v>
      </c>
      <c r="G358" s="0" t="inlineStr">
        <is>
          <t>WOMENS</t>
        </is>
      </c>
      <c r="H358" s="0" t="inlineStr">
        <is>
          <t>2XL</t>
        </is>
      </c>
      <c r="I358" s="0">
        <v>31.99</v>
      </c>
      <c r="J358" s="0">
        <v>0</v>
      </c>
    </row>
    <row r="359" spans="1:10" customHeight="0">
      <c r="A359" s="0">
        <f>HYPERLINK("https://dl.dropboxusercontent.com/scl/fi/hoqce54impfe9fxj4si9x/f22-65bc.jpg?rlkey=a23jg4sm1iwh2y7lric7jd0ih&amp;dl=0","Click to download Image")</f>
      </c>
      <c r="B359" s="0">
        <f>HYPERLINK("https://dl.dropboxusercontent.com/scl/fi/7vi9n9iwwznsus1zzipkc/womens-size-chartsnicole.jpg?rlkey=eww3iiwpj8br1ulb5wsdniaib&amp;dl=0","Click to download SizeChart")</f>
      </c>
      <c r="C359" s="0" t="inlineStr">
        <is>
          <t>Nicole Women's Shorts</t>
        </is>
      </c>
      <c r="D359" s="1">
        <v>127057</v>
      </c>
      <c r="E359" s="0" t="inlineStr">
        <is>
          <t>IOWA NICOLE W BK:127057F-3XL</t>
        </is>
      </c>
      <c r="F359" s="2">
        <v>800127057068</v>
      </c>
      <c r="G359" s="0" t="inlineStr">
        <is>
          <t>WOMENS</t>
        </is>
      </c>
      <c r="H359" s="0" t="inlineStr">
        <is>
          <t>3XL</t>
        </is>
      </c>
      <c r="I359" s="0">
        <v>31.99</v>
      </c>
      <c r="J359" s="0">
        <v>0</v>
      </c>
    </row>
    <row r="360" spans="1:10" customHeight="0">
      <c r="A360" s="0">
        <f>HYPERLINK("https://dl.dropboxusercontent.com/scl/fi/hoqce54impfe9fxj4si9x/f22-65bc.jpg?rlkey=a23jg4sm1iwh2y7lric7jd0ih&amp;dl=0","Click to download Image")</f>
      </c>
      <c r="B360" s="0">
        <f>HYPERLINK("https://dl.dropboxusercontent.com/scl/fi/7vi9n9iwwznsus1zzipkc/womens-size-chartsnicole.jpg?rlkey=eww3iiwpj8br1ulb5wsdniaib&amp;dl=0","Click to download SizeChart")</f>
      </c>
      <c r="C360" s="0" t="inlineStr">
        <is>
          <t>Nicole Women's Shorts</t>
        </is>
      </c>
      <c r="D360" s="1">
        <v>127057</v>
      </c>
      <c r="E360" s="0" t="inlineStr">
        <is>
          <t>IOWA NICOLE W BK 12PK:127057Z-12PK</t>
        </is>
      </c>
      <c r="F360" s="2">
        <v>800127057990</v>
      </c>
      <c r="G360" s="0" t="inlineStr">
        <is>
          <t>WOMENS</t>
        </is>
      </c>
      <c r="H360" s="0" t="inlineStr">
        <is>
          <t>12 PACK</t>
        </is>
      </c>
      <c r="I360" s="0">
        <v>288</v>
      </c>
      <c r="J360" s="0">
        <v>0</v>
      </c>
    </row>
    <row r="361" spans="1:10" customHeight="0">
      <c r="A361" s="0">
        <f>HYPERLINK("https://dl.dropboxusercontent.com/scl/fi/aafebhmn2mvsbzg9ajj0n/129564-f.jpg?rlkey=bngznmyqu9fw1ym38hvnlo7xw&amp;dl=0","Click to download Image")</f>
      </c>
      <c r="B361" s="0">
        <f>HYPERLINK("https://dl.dropboxusercontent.com/scl/fi/28vj5bj9mw2j441c3um4h/womens-t-shirt-size-chartsoakley.jpg?rlkey=qp8s20ytzil203hmmbxga6arq&amp;dl=0","Click to download SizeChart")</f>
      </c>
      <c r="C361" s="0" t="inlineStr">
        <is>
          <t>Oakley Womens Long Sleeve</t>
        </is>
      </c>
      <c r="D361" s="1">
        <v>129564</v>
      </c>
      <c r="E361" s="0" t="inlineStr">
        <is>
          <t>IOWA OAKLEY W BK:129564A-S</t>
        </is>
      </c>
      <c r="F361" s="2">
        <v>800129564045</v>
      </c>
      <c r="G361" s="0" t="inlineStr">
        <is>
          <t>WOMENS</t>
        </is>
      </c>
      <c r="H361" s="0" t="inlineStr">
        <is>
          <t>S</t>
        </is>
      </c>
      <c r="I361" s="0">
        <v>39.99</v>
      </c>
      <c r="J361" s="0">
        <v>12</v>
      </c>
    </row>
    <row r="362" spans="1:10" customHeight="0">
      <c r="A362" s="0">
        <f>HYPERLINK("https://dl.dropboxusercontent.com/scl/fi/aafebhmn2mvsbzg9ajj0n/129564-f.jpg?rlkey=bngznmyqu9fw1ym38hvnlo7xw&amp;dl=0","Click to download Image")</f>
      </c>
      <c r="B362" s="0">
        <f>HYPERLINK("https://dl.dropboxusercontent.com/scl/fi/28vj5bj9mw2j441c3um4h/womens-t-shirt-size-chartsoakley.jpg?rlkey=qp8s20ytzil203hmmbxga6arq&amp;dl=0","Click to download SizeChart")</f>
      </c>
      <c r="C362" s="0" t="inlineStr">
        <is>
          <t>Oakley Womens Long Sleeve</t>
        </is>
      </c>
      <c r="D362" s="1">
        <v>129564</v>
      </c>
      <c r="E362" s="0" t="inlineStr">
        <is>
          <t>IOWA OAKLEY W BK:129564B-M</t>
        </is>
      </c>
      <c r="F362" s="2">
        <v>800129564052</v>
      </c>
      <c r="G362" s="0" t="inlineStr">
        <is>
          <t>WOMENS</t>
        </is>
      </c>
      <c r="H362" s="0" t="inlineStr">
        <is>
          <t>M</t>
        </is>
      </c>
      <c r="I362" s="0">
        <v>39.99</v>
      </c>
      <c r="J362" s="0">
        <v>8</v>
      </c>
    </row>
    <row r="363" spans="1:10" customHeight="0">
      <c r="A363" s="0">
        <f>HYPERLINK("https://dl.dropboxusercontent.com/scl/fi/aafebhmn2mvsbzg9ajj0n/129564-f.jpg?rlkey=bngznmyqu9fw1ym38hvnlo7xw&amp;dl=0","Click to download Image")</f>
      </c>
      <c r="B363" s="0">
        <f>HYPERLINK("https://dl.dropboxusercontent.com/scl/fi/28vj5bj9mw2j441c3um4h/womens-t-shirt-size-chartsoakley.jpg?rlkey=qp8s20ytzil203hmmbxga6arq&amp;dl=0","Click to download SizeChart")</f>
      </c>
      <c r="C363" s="0" t="inlineStr">
        <is>
          <t>Oakley Womens Long Sleeve</t>
        </is>
      </c>
      <c r="D363" s="1">
        <v>129564</v>
      </c>
      <c r="E363" s="0" t="inlineStr">
        <is>
          <t>IOWA OAKLEY W BK:129564C-L</t>
        </is>
      </c>
      <c r="F363" s="2">
        <v>800129564069</v>
      </c>
      <c r="G363" s="0" t="inlineStr">
        <is>
          <t>WOMENS</t>
        </is>
      </c>
      <c r="H363" s="0" t="inlineStr">
        <is>
          <t>L</t>
        </is>
      </c>
      <c r="I363" s="0">
        <v>39.99</v>
      </c>
      <c r="J363" s="0">
        <v>0</v>
      </c>
    </row>
    <row r="364" spans="1:10" customHeight="0">
      <c r="A364" s="0">
        <f>HYPERLINK("https://dl.dropboxusercontent.com/scl/fi/aafebhmn2mvsbzg9ajj0n/129564-f.jpg?rlkey=bngznmyqu9fw1ym38hvnlo7xw&amp;dl=0","Click to download Image")</f>
      </c>
      <c r="B364" s="0">
        <f>HYPERLINK("https://dl.dropboxusercontent.com/scl/fi/28vj5bj9mw2j441c3um4h/womens-t-shirt-size-chartsoakley.jpg?rlkey=qp8s20ytzil203hmmbxga6arq&amp;dl=0","Click to download SizeChart")</f>
      </c>
      <c r="C364" s="0" t="inlineStr">
        <is>
          <t>Oakley Womens Long Sleeve</t>
        </is>
      </c>
      <c r="D364" s="1">
        <v>129564</v>
      </c>
      <c r="E364" s="0" t="inlineStr">
        <is>
          <t>IOWA OAKLEY W BK:129564D-XL</t>
        </is>
      </c>
      <c r="F364" s="2">
        <v>800129564076</v>
      </c>
      <c r="G364" s="0" t="inlineStr">
        <is>
          <t>WOMENS</t>
        </is>
      </c>
      <c r="H364" s="0" t="inlineStr">
        <is>
          <t>XL</t>
        </is>
      </c>
      <c r="I364" s="0">
        <v>39.99</v>
      </c>
      <c r="J364" s="0">
        <v>0</v>
      </c>
    </row>
    <row r="365" spans="1:10" customHeight="0">
      <c r="A365" s="0">
        <f>HYPERLINK("https://dl.dropboxusercontent.com/scl/fi/aafebhmn2mvsbzg9ajj0n/129564-f.jpg?rlkey=bngznmyqu9fw1ym38hvnlo7xw&amp;dl=0","Click to download Image")</f>
      </c>
      <c r="B365" s="0">
        <f>HYPERLINK("https://dl.dropboxusercontent.com/scl/fi/28vj5bj9mw2j441c3um4h/womens-t-shirt-size-chartsoakley.jpg?rlkey=qp8s20ytzil203hmmbxga6arq&amp;dl=0","Click to download SizeChart")</f>
      </c>
      <c r="C365" s="0" t="inlineStr">
        <is>
          <t>Oakley Womens Long Sleeve</t>
        </is>
      </c>
      <c r="D365" s="1">
        <v>129564</v>
      </c>
      <c r="E365" s="0" t="inlineStr">
        <is>
          <t>IOWA OAKLEY W BK:129564E-2XL</t>
        </is>
      </c>
      <c r="F365" s="2">
        <v>800129564083</v>
      </c>
      <c r="G365" s="0" t="inlineStr">
        <is>
          <t>WOMENS</t>
        </is>
      </c>
      <c r="H365" s="0" t="inlineStr">
        <is>
          <t>2XL</t>
        </is>
      </c>
      <c r="I365" s="0">
        <v>39.99</v>
      </c>
      <c r="J365" s="0">
        <v>0</v>
      </c>
    </row>
    <row r="366" spans="1:10" customHeight="0">
      <c r="A366" s="0">
        <f>HYPERLINK("https://dl.dropboxusercontent.com/scl/fi/aafebhmn2mvsbzg9ajj0n/129564-f.jpg?rlkey=bngznmyqu9fw1ym38hvnlo7xw&amp;dl=0","Click to download Image")</f>
      </c>
      <c r="B366" s="0">
        <f>HYPERLINK("https://dl.dropboxusercontent.com/scl/fi/28vj5bj9mw2j441c3um4h/womens-t-shirt-size-chartsoakley.jpg?rlkey=qp8s20ytzil203hmmbxga6arq&amp;dl=0","Click to download SizeChart")</f>
      </c>
      <c r="C366" s="0" t="inlineStr">
        <is>
          <t>Oakley Womens Long Sleeve</t>
        </is>
      </c>
      <c r="D366" s="1">
        <v>129564</v>
      </c>
      <c r="E366" s="0" t="inlineStr">
        <is>
          <t>IOWA OAKLEY W BK:129564F-3XL</t>
        </is>
      </c>
      <c r="F366" s="2">
        <v>800129564090</v>
      </c>
      <c r="G366" s="0" t="inlineStr">
        <is>
          <t>WOMENS</t>
        </is>
      </c>
      <c r="H366" s="0" t="inlineStr">
        <is>
          <t>3XL</t>
        </is>
      </c>
      <c r="I366" s="0">
        <v>39.99</v>
      </c>
      <c r="J366" s="0">
        <v>3</v>
      </c>
    </row>
    <row r="367" spans="1:10" customHeight="0">
      <c r="A367" s="0">
        <f>HYPERLINK("https://dl.dropboxusercontent.com/scl/fi/aafebhmn2mvsbzg9ajj0n/129564-f.jpg?rlkey=bngznmyqu9fw1ym38hvnlo7xw&amp;dl=0","Click to download Image")</f>
      </c>
      <c r="B367" s="0">
        <f>HYPERLINK("https://dl.dropboxusercontent.com/scl/fi/28vj5bj9mw2j441c3um4h/womens-t-shirt-size-chartsoakley.jpg?rlkey=qp8s20ytzil203hmmbxga6arq&amp;dl=0","Click to download SizeChart")</f>
      </c>
      <c r="C367" s="0" t="inlineStr">
        <is>
          <t>Oakley Womens Long Sleeve</t>
        </is>
      </c>
      <c r="D367" s="1">
        <v>129564</v>
      </c>
      <c r="E367" s="0" t="inlineStr">
        <is>
          <t>IOWA OAKLEY W BK 12PK:129564Z-12PK</t>
        </is>
      </c>
      <c r="F367" s="2">
        <v>800129564991</v>
      </c>
      <c r="G367" s="0" t="inlineStr">
        <is>
          <t>WOMENS</t>
        </is>
      </c>
      <c r="H367" s="0" t="inlineStr">
        <is>
          <t>12 PACK</t>
        </is>
      </c>
      <c r="I367" s="0">
        <v>384</v>
      </c>
      <c r="J367" s="0">
        <v>0</v>
      </c>
    </row>
    <row r="368" spans="1:10" customHeight="0">
      <c r="A368" s="0">
        <f>HYPERLINK("https://dl.dropboxusercontent.com/scl/fi/kfymedgns177qx357yxyk/f22-87-ia-rhodes-edit-2.jpg?rlkey=q1agw32kxznb5636afyb8jfvb&amp;dl=0","Click to download Image")</f>
      </c>
      <c r="B368" s="0">
        <f>HYPERLINK("https://dl.dropboxusercontent.com/scl/fi/10zavfl3zzldzzx6kf49c/mens-jackets-size-chartsrhodes.jpg?rlkey=ctist0x25yrcipcvrvbbgyjfr&amp;dl=0","Click to download SizeChart")</f>
      </c>
      <c r="C368" s="0" t="inlineStr">
        <is>
          <t>Rhodes Men's Jacket</t>
        </is>
      </c>
      <c r="D368" s="1">
        <v>126936</v>
      </c>
      <c r="E368" s="0" t="inlineStr">
        <is>
          <t>IOWA RHODES M CO:126936A-S</t>
        </is>
      </c>
      <c r="F368" s="2">
        <v>800126936043</v>
      </c>
      <c r="G368" s="0" t="inlineStr">
        <is>
          <t>MENS</t>
        </is>
      </c>
      <c r="H368" s="0" t="inlineStr">
        <is>
          <t>S</t>
        </is>
      </c>
      <c r="I368" s="0">
        <v>99.99</v>
      </c>
      <c r="J368" s="0">
        <v>16</v>
      </c>
    </row>
    <row r="369" spans="1:10" customHeight="0">
      <c r="A369" s="0">
        <f>HYPERLINK("https://dl.dropboxusercontent.com/scl/fi/kfymedgns177qx357yxyk/f22-87-ia-rhodes-edit-2.jpg?rlkey=q1agw32kxznb5636afyb8jfvb&amp;dl=0","Click to download Image")</f>
      </c>
      <c r="B369" s="0">
        <f>HYPERLINK("https://dl.dropboxusercontent.com/scl/fi/10zavfl3zzldzzx6kf49c/mens-jackets-size-chartsrhodes.jpg?rlkey=ctist0x25yrcipcvrvbbgyjfr&amp;dl=0","Click to download SizeChart")</f>
      </c>
      <c r="C369" s="0" t="inlineStr">
        <is>
          <t>Rhodes Men's Jacket</t>
        </is>
      </c>
      <c r="D369" s="1">
        <v>126936</v>
      </c>
      <c r="E369" s="0" t="inlineStr">
        <is>
          <t>IOWA RHODES M CO:126936B-M</t>
        </is>
      </c>
      <c r="F369" s="2">
        <v>800126936050</v>
      </c>
      <c r="G369" s="0" t="inlineStr">
        <is>
          <t>MENS</t>
        </is>
      </c>
      <c r="H369" s="0" t="inlineStr">
        <is>
          <t>M</t>
        </is>
      </c>
      <c r="I369" s="0">
        <v>99.99</v>
      </c>
      <c r="J369" s="0">
        <v>32</v>
      </c>
    </row>
    <row r="370" spans="1:10" customHeight="0">
      <c r="A370" s="0">
        <f>HYPERLINK("https://dl.dropboxusercontent.com/scl/fi/kfymedgns177qx357yxyk/f22-87-ia-rhodes-edit-2.jpg?rlkey=q1agw32kxznb5636afyb8jfvb&amp;dl=0","Click to download Image")</f>
      </c>
      <c r="B370" s="0">
        <f>HYPERLINK("https://dl.dropboxusercontent.com/scl/fi/10zavfl3zzldzzx6kf49c/mens-jackets-size-chartsrhodes.jpg?rlkey=ctist0x25yrcipcvrvbbgyjfr&amp;dl=0","Click to download SizeChart")</f>
      </c>
      <c r="C370" s="0" t="inlineStr">
        <is>
          <t>Rhodes Men's Jacket</t>
        </is>
      </c>
      <c r="D370" s="1">
        <v>126936</v>
      </c>
      <c r="E370" s="0" t="inlineStr">
        <is>
          <t>IOWA RHODES M CO:126936C-L</t>
        </is>
      </c>
      <c r="F370" s="2">
        <v>800126936067</v>
      </c>
      <c r="G370" s="0" t="inlineStr">
        <is>
          <t>MENS</t>
        </is>
      </c>
      <c r="H370" s="0" t="inlineStr">
        <is>
          <t>L</t>
        </is>
      </c>
      <c r="I370" s="0">
        <v>99.99</v>
      </c>
      <c r="J370" s="0">
        <v>42</v>
      </c>
    </row>
    <row r="371" spans="1:10" customHeight="0">
      <c r="A371" s="0">
        <f>HYPERLINK("https://dl.dropboxusercontent.com/scl/fi/kfymedgns177qx357yxyk/f22-87-ia-rhodes-edit-2.jpg?rlkey=q1agw32kxznb5636afyb8jfvb&amp;dl=0","Click to download Image")</f>
      </c>
      <c r="B371" s="0">
        <f>HYPERLINK("https://dl.dropboxusercontent.com/scl/fi/10zavfl3zzldzzx6kf49c/mens-jackets-size-chartsrhodes.jpg?rlkey=ctist0x25yrcipcvrvbbgyjfr&amp;dl=0","Click to download SizeChart")</f>
      </c>
      <c r="C371" s="0" t="inlineStr">
        <is>
          <t>Rhodes Men's Jacket</t>
        </is>
      </c>
      <c r="D371" s="1">
        <v>126936</v>
      </c>
      <c r="E371" s="0" t="inlineStr">
        <is>
          <t>IOWA RHODES M CO:126936D-XL</t>
        </is>
      </c>
      <c r="F371" s="2">
        <v>800126936074</v>
      </c>
      <c r="G371" s="0" t="inlineStr">
        <is>
          <t>MENS</t>
        </is>
      </c>
      <c r="H371" s="0" t="inlineStr">
        <is>
          <t>XL</t>
        </is>
      </c>
      <c r="I371" s="0">
        <v>99.99</v>
      </c>
      <c r="J371" s="0">
        <v>44</v>
      </c>
    </row>
    <row r="372" spans="1:10" customHeight="0">
      <c r="A372" s="0">
        <f>HYPERLINK("https://dl.dropboxusercontent.com/scl/fi/kfymedgns177qx357yxyk/f22-87-ia-rhodes-edit-2.jpg?rlkey=q1agw32kxznb5636afyb8jfvb&amp;dl=0","Click to download Image")</f>
      </c>
      <c r="B372" s="0">
        <f>HYPERLINK("https://dl.dropboxusercontent.com/scl/fi/10zavfl3zzldzzx6kf49c/mens-jackets-size-chartsrhodes.jpg?rlkey=ctist0x25yrcipcvrvbbgyjfr&amp;dl=0","Click to download SizeChart")</f>
      </c>
      <c r="C372" s="0" t="inlineStr">
        <is>
          <t>Rhodes Men's Jacket</t>
        </is>
      </c>
      <c r="D372" s="1">
        <v>126936</v>
      </c>
      <c r="E372" s="0" t="inlineStr">
        <is>
          <t>IOWA RHODES M CO:126936E-2XL</t>
        </is>
      </c>
      <c r="F372" s="2">
        <v>800126936081</v>
      </c>
      <c r="G372" s="0" t="inlineStr">
        <is>
          <t>MENS</t>
        </is>
      </c>
      <c r="H372" s="0" t="inlineStr">
        <is>
          <t>2XL</t>
        </is>
      </c>
      <c r="I372" s="0">
        <v>99.99</v>
      </c>
      <c r="J372" s="0">
        <v>29</v>
      </c>
    </row>
    <row r="373" spans="1:10" customHeight="0">
      <c r="A373" s="0">
        <f>HYPERLINK("https://dl.dropboxusercontent.com/scl/fi/kfymedgns177qx357yxyk/f22-87-ia-rhodes-edit-2.jpg?rlkey=q1agw32kxznb5636afyb8jfvb&amp;dl=0","Click to download Image")</f>
      </c>
      <c r="B373" s="0">
        <f>HYPERLINK("https://dl.dropboxusercontent.com/scl/fi/10zavfl3zzldzzx6kf49c/mens-jackets-size-chartsrhodes.jpg?rlkey=ctist0x25yrcipcvrvbbgyjfr&amp;dl=0","Click to download SizeChart")</f>
      </c>
      <c r="C373" s="0" t="inlineStr">
        <is>
          <t>Rhodes Men's Jacket</t>
        </is>
      </c>
      <c r="D373" s="1">
        <v>126936</v>
      </c>
      <c r="E373" s="0" t="inlineStr">
        <is>
          <t>IOWA RHODES M CO:126936F-3XL</t>
        </is>
      </c>
      <c r="F373" s="2">
        <v>800126936098</v>
      </c>
      <c r="G373" s="0" t="inlineStr">
        <is>
          <t>MENS</t>
        </is>
      </c>
      <c r="H373" s="0" t="inlineStr">
        <is>
          <t>3XL</t>
        </is>
      </c>
      <c r="I373" s="0">
        <v>99.99</v>
      </c>
      <c r="J373" s="0">
        <v>13</v>
      </c>
    </row>
    <row r="374" spans="1:10" customHeight="0">
      <c r="A374" s="0">
        <f>HYPERLINK("https://dl.dropboxusercontent.com/scl/fi/kfymedgns177qx357yxyk/f22-87-ia-rhodes-edit-2.jpg?rlkey=q1agw32kxznb5636afyb8jfvb&amp;dl=0","Click to download Image")</f>
      </c>
      <c r="B374" s="0">
        <f>HYPERLINK("https://dl.dropboxusercontent.com/scl/fi/10zavfl3zzldzzx6kf49c/mens-jackets-size-chartsrhodes.jpg?rlkey=ctist0x25yrcipcvrvbbgyjfr&amp;dl=0","Click to download SizeChart")</f>
      </c>
      <c r="C374" s="0" t="inlineStr">
        <is>
          <t>Rhodes Men's Jacket</t>
        </is>
      </c>
      <c r="D374" s="1">
        <v>126936</v>
      </c>
      <c r="E374" s="0" t="inlineStr">
        <is>
          <t>IOWA RHODES M CO 12PK:126936Z-12PK</t>
        </is>
      </c>
      <c r="F374" s="2">
        <v>800126936999</v>
      </c>
      <c r="G374" s="0" t="inlineStr">
        <is>
          <t>MENS</t>
        </is>
      </c>
      <c r="H374" s="0" t="inlineStr">
        <is>
          <t>12 PACK</t>
        </is>
      </c>
      <c r="I374" s="0">
        <v>966</v>
      </c>
      <c r="J374" s="0">
        <v>0</v>
      </c>
    </row>
    <row r="375" spans="1:10" customHeight="0">
      <c r="A375" s="0">
        <f>HYPERLINK("https://dl.dropboxusercontent.com/scl/fi/6kzzvjn2gr7hz26k2s5vc/129920-f.jpg?rlkey=nkjostl11heof66cdgv5sgnr9&amp;dl=0","Click to download Image")</f>
      </c>
      <c r="B375" s="0">
        <f>HYPERLINK("https://dl.dropboxusercontent.com/scl/fi/3kby2vd5smotd1613gpgm/womens-t-shirt-size-chartsemory.jpg?rlkey=uyq6bg2qanvny87yr6k5n9etc&amp;dl=0","Click to download SizeChart")</f>
      </c>
      <c r="C375" s="0" t="inlineStr">
        <is>
          <t>Emory Women's T-shirt</t>
        </is>
      </c>
      <c r="D375" s="1">
        <v>129920</v>
      </c>
      <c r="E375" s="0" t="inlineStr">
        <is>
          <t>IOWA EMORY W DG:129920A-S</t>
        </is>
      </c>
      <c r="F375" s="2">
        <v>800129920049</v>
      </c>
      <c r="G375" s="0" t="inlineStr">
        <is>
          <t>WOMENS</t>
        </is>
      </c>
      <c r="H375" s="0" t="inlineStr">
        <is>
          <t>S</t>
        </is>
      </c>
      <c r="I375" s="0">
        <v>34.99</v>
      </c>
      <c r="J375" s="0">
        <v>10</v>
      </c>
    </row>
    <row r="376" spans="1:10" customHeight="0">
      <c r="A376" s="0">
        <f>HYPERLINK("https://dl.dropboxusercontent.com/scl/fi/6kzzvjn2gr7hz26k2s5vc/129920-f.jpg?rlkey=nkjostl11heof66cdgv5sgnr9&amp;dl=0","Click to download Image")</f>
      </c>
      <c r="B376" s="0">
        <f>HYPERLINK("https://dl.dropboxusercontent.com/scl/fi/3kby2vd5smotd1613gpgm/womens-t-shirt-size-chartsemory.jpg?rlkey=uyq6bg2qanvny87yr6k5n9etc&amp;dl=0","Click to download SizeChart")</f>
      </c>
      <c r="C376" s="0" t="inlineStr">
        <is>
          <t>Emory Women's T-shirt</t>
        </is>
      </c>
      <c r="D376" s="1">
        <v>129920</v>
      </c>
      <c r="E376" s="0" t="inlineStr">
        <is>
          <t>IOWA EMORY W DG:129920B-M</t>
        </is>
      </c>
      <c r="F376" s="2">
        <v>800129920056</v>
      </c>
      <c r="G376" s="0" t="inlineStr">
        <is>
          <t>WOMENS</t>
        </is>
      </c>
      <c r="H376" s="0" t="inlineStr">
        <is>
          <t>M</t>
        </is>
      </c>
      <c r="I376" s="0">
        <v>34.99</v>
      </c>
      <c r="J376" s="0">
        <v>0</v>
      </c>
    </row>
    <row r="377" spans="1:10" customHeight="0">
      <c r="A377" s="0">
        <f>HYPERLINK("https://dl.dropboxusercontent.com/scl/fi/6kzzvjn2gr7hz26k2s5vc/129920-f.jpg?rlkey=nkjostl11heof66cdgv5sgnr9&amp;dl=0","Click to download Image")</f>
      </c>
      <c r="B377" s="0">
        <f>HYPERLINK("https://dl.dropboxusercontent.com/scl/fi/3kby2vd5smotd1613gpgm/womens-t-shirt-size-chartsemory.jpg?rlkey=uyq6bg2qanvny87yr6k5n9etc&amp;dl=0","Click to download SizeChart")</f>
      </c>
      <c r="C377" s="0" t="inlineStr">
        <is>
          <t>Emory Women's T-shirt</t>
        </is>
      </c>
      <c r="D377" s="1">
        <v>129920</v>
      </c>
      <c r="E377" s="0" t="inlineStr">
        <is>
          <t>IOWA EMORY W DG:129920C-L</t>
        </is>
      </c>
      <c r="F377" s="2">
        <v>800129920063</v>
      </c>
      <c r="G377" s="0" t="inlineStr">
        <is>
          <t>WOMENS</t>
        </is>
      </c>
      <c r="H377" s="0" t="inlineStr">
        <is>
          <t>L</t>
        </is>
      </c>
      <c r="I377" s="0">
        <v>34.99</v>
      </c>
      <c r="J377" s="0">
        <v>0</v>
      </c>
    </row>
    <row r="378" spans="1:10" customHeight="0">
      <c r="A378" s="0">
        <f>HYPERLINK("https://dl.dropboxusercontent.com/scl/fi/6kzzvjn2gr7hz26k2s5vc/129920-f.jpg?rlkey=nkjostl11heof66cdgv5sgnr9&amp;dl=0","Click to download Image")</f>
      </c>
      <c r="B378" s="0">
        <f>HYPERLINK("https://dl.dropboxusercontent.com/scl/fi/3kby2vd5smotd1613gpgm/womens-t-shirt-size-chartsemory.jpg?rlkey=uyq6bg2qanvny87yr6k5n9etc&amp;dl=0","Click to download SizeChart")</f>
      </c>
      <c r="C378" s="0" t="inlineStr">
        <is>
          <t>Emory Women's T-shirt</t>
        </is>
      </c>
      <c r="D378" s="1">
        <v>129920</v>
      </c>
      <c r="E378" s="0" t="inlineStr">
        <is>
          <t>IOWA EMORY W DG:129920D-XL</t>
        </is>
      </c>
      <c r="F378" s="2">
        <v>800129920070</v>
      </c>
      <c r="G378" s="0" t="inlineStr">
        <is>
          <t>WOMENS</t>
        </is>
      </c>
      <c r="H378" s="0" t="inlineStr">
        <is>
          <t>XL</t>
        </is>
      </c>
      <c r="I378" s="0">
        <v>34.99</v>
      </c>
      <c r="J378" s="0">
        <v>0</v>
      </c>
    </row>
    <row r="379" spans="1:10" customHeight="0">
      <c r="A379" s="0">
        <f>HYPERLINK("https://dl.dropboxusercontent.com/scl/fi/6kzzvjn2gr7hz26k2s5vc/129920-f.jpg?rlkey=nkjostl11heof66cdgv5sgnr9&amp;dl=0","Click to download Image")</f>
      </c>
      <c r="B379" s="0">
        <f>HYPERLINK("https://dl.dropboxusercontent.com/scl/fi/3kby2vd5smotd1613gpgm/womens-t-shirt-size-chartsemory.jpg?rlkey=uyq6bg2qanvny87yr6k5n9etc&amp;dl=0","Click to download SizeChart")</f>
      </c>
      <c r="C379" s="0" t="inlineStr">
        <is>
          <t>Emory Women's T-shirt</t>
        </is>
      </c>
      <c r="D379" s="1">
        <v>129920</v>
      </c>
      <c r="E379" s="0" t="inlineStr">
        <is>
          <t>IOWA EMORY W DG:129920E-2XL</t>
        </is>
      </c>
      <c r="F379" s="2">
        <v>800129920087</v>
      </c>
      <c r="G379" s="0" t="inlineStr">
        <is>
          <t>WOMENS</t>
        </is>
      </c>
      <c r="H379" s="0" t="inlineStr">
        <is>
          <t>2XL</t>
        </is>
      </c>
      <c r="I379" s="0">
        <v>34.99</v>
      </c>
      <c r="J379" s="0">
        <v>4</v>
      </c>
    </row>
    <row r="380" spans="1:10" customHeight="0">
      <c r="A380" s="0">
        <f>HYPERLINK("https://dl.dropboxusercontent.com/scl/fi/6kzzvjn2gr7hz26k2s5vc/129920-f.jpg?rlkey=nkjostl11heof66cdgv5sgnr9&amp;dl=0","Click to download Image")</f>
      </c>
      <c r="B380" s="0">
        <f>HYPERLINK("https://dl.dropboxusercontent.com/scl/fi/3kby2vd5smotd1613gpgm/womens-t-shirt-size-chartsemory.jpg?rlkey=uyq6bg2qanvny87yr6k5n9etc&amp;dl=0","Click to download SizeChart")</f>
      </c>
      <c r="C380" s="0" t="inlineStr">
        <is>
          <t>Emory Women's T-shirt</t>
        </is>
      </c>
      <c r="D380" s="1">
        <v>129920</v>
      </c>
      <c r="E380" s="0" t="inlineStr">
        <is>
          <t>IOWA EMORY W DG:129920F-3XL</t>
        </is>
      </c>
      <c r="F380" s="2">
        <v>800129920094</v>
      </c>
      <c r="G380" s="0" t="inlineStr">
        <is>
          <t>WOMENS</t>
        </is>
      </c>
      <c r="H380" s="0" t="inlineStr">
        <is>
          <t>3XL</t>
        </is>
      </c>
      <c r="I380" s="0">
        <v>34.99</v>
      </c>
      <c r="J380" s="0">
        <v>2</v>
      </c>
    </row>
    <row r="381" spans="1:10" customHeight="0">
      <c r="A381" s="0">
        <f>HYPERLINK("https://dl.dropboxusercontent.com/scl/fi/6kzzvjn2gr7hz26k2s5vc/129920-f.jpg?rlkey=nkjostl11heof66cdgv5sgnr9&amp;dl=0","Click to download Image")</f>
      </c>
      <c r="B381" s="0">
        <f>HYPERLINK("https://dl.dropboxusercontent.com/scl/fi/3kby2vd5smotd1613gpgm/womens-t-shirt-size-chartsemory.jpg?rlkey=uyq6bg2qanvny87yr6k5n9etc&amp;dl=0","Click to download SizeChart")</f>
      </c>
      <c r="C381" s="0" t="inlineStr">
        <is>
          <t>Emory Women's T-shirt</t>
        </is>
      </c>
      <c r="D381" s="1">
        <v>129920</v>
      </c>
      <c r="E381" s="0" t="inlineStr">
        <is>
          <t>IOWA EMORY W DG 12PK:129920Z-12PK</t>
        </is>
      </c>
      <c r="F381" s="2">
        <v>800129920995</v>
      </c>
      <c r="G381" s="0" t="inlineStr">
        <is>
          <t>WOMENS</t>
        </is>
      </c>
      <c r="H381" s="0" t="inlineStr">
        <is>
          <t>12 PACK</t>
        </is>
      </c>
      <c r="I381" s="0">
        <v>336</v>
      </c>
      <c r="J381" s="0">
        <v>0</v>
      </c>
    </row>
    <row r="382" spans="1:10" customHeight="0">
      <c r="A382" s="0">
        <f>HYPERLINK("https://dl.dropboxusercontent.com/scl/fi/vc1fr4ov7eb8ox8ne4moa/129777-flatf.jpg?rlkey=9s29ignjazni69t9xjdxjd8gy&amp;dl=0","Click to download Image")</f>
      </c>
      <c r="C382" s="0" t="inlineStr">
        <is>
          <t>Coe Infant Beanie</t>
        </is>
      </c>
      <c r="D382" s="1">
        <v>129777</v>
      </c>
      <c r="E382" s="0" t="inlineStr">
        <is>
          <t>IOWA COE I RE:129777</t>
        </is>
      </c>
      <c r="F382" s="2">
        <v>700129777011</v>
      </c>
      <c r="G382" s="0" t="inlineStr">
        <is>
          <t>INFANT</t>
        </is>
      </c>
      <c r="I382" s="0">
        <v>29.99</v>
      </c>
      <c r="J382" s="0">
        <v>49</v>
      </c>
    </row>
    <row r="383" spans="1:10" customHeight="0">
      <c r="A383" s="0">
        <f>HYPERLINK("https://dl.dropboxusercontent.com/scl/fi/i7y7en80t1xpgfd4d0ei1/5x3a0727-edit-iowa-2.jpg?rlkey=v4llf3ferkwoxswacv98yluwd&amp;dl=0","Click to download Image")</f>
      </c>
      <c r="C383" s="0" t="inlineStr">
        <is>
          <t>Larkin Womens Oversized T-shirt</t>
        </is>
      </c>
      <c r="D383" s="1">
        <v>126881</v>
      </c>
      <c r="E383" s="0" t="inlineStr">
        <is>
          <t>IOWA LARKIN W BK:126881S/M</t>
        </is>
      </c>
      <c r="F383" s="2">
        <v>800126881428</v>
      </c>
      <c r="G383" s="0" t="inlineStr">
        <is>
          <t>WOMENS</t>
        </is>
      </c>
      <c r="H383" s="0" t="inlineStr">
        <is>
          <t>S/M</t>
        </is>
      </c>
      <c r="I383" s="0">
        <v>29.99</v>
      </c>
      <c r="J383" s="0">
        <v>12</v>
      </c>
    </row>
    <row r="384" spans="1:10" customHeight="0">
      <c r="A384" s="0">
        <f>HYPERLINK("https://dl.dropboxusercontent.com/scl/fi/i7y7en80t1xpgfd4d0ei1/5x3a0727-edit-iowa-2.jpg?rlkey=v4llf3ferkwoxswacv98yluwd&amp;dl=0","Click to download Image")</f>
      </c>
      <c r="C384" s="0" t="inlineStr">
        <is>
          <t>Larkin Womens Oversized T-shirt</t>
        </is>
      </c>
      <c r="D384" s="1">
        <v>126881</v>
      </c>
      <c r="E384" s="0" t="inlineStr">
        <is>
          <t>IOWA LARKIN W BK:126881L/XL</t>
        </is>
      </c>
      <c r="F384" s="2">
        <v>800126881435</v>
      </c>
      <c r="G384" s="0" t="inlineStr">
        <is>
          <t>WOMENS</t>
        </is>
      </c>
      <c r="H384" s="0" t="inlineStr">
        <is>
          <t>L/XL</t>
        </is>
      </c>
      <c r="I384" s="0">
        <v>29.99</v>
      </c>
      <c r="J384" s="0">
        <v>10</v>
      </c>
    </row>
    <row r="385" spans="1:10" customHeight="0">
      <c r="A385" s="0">
        <f>HYPERLINK("https://dl.dropboxusercontent.com/scl/fi/i7y7en80t1xpgfd4d0ei1/5x3a0727-edit-iowa-2.jpg?rlkey=v4llf3ferkwoxswacv98yluwd&amp;dl=0","Click to download Image")</f>
      </c>
      <c r="C385" s="0" t="inlineStr">
        <is>
          <t>Larkin Womens Oversized T-shirt</t>
        </is>
      </c>
      <c r="D385" s="1">
        <v>126881</v>
      </c>
      <c r="E385" s="0" t="inlineStr">
        <is>
          <t>IOWA LARKIN W BK 12PK:126881Z-12PK</t>
        </is>
      </c>
      <c r="F385" s="2">
        <v>800126881992</v>
      </c>
      <c r="G385" s="0" t="inlineStr">
        <is>
          <t>WOMENS</t>
        </is>
      </c>
      <c r="H385" s="0" t="inlineStr">
        <is>
          <t>12 PACK</t>
        </is>
      </c>
      <c r="I385" s="0">
        <v>288</v>
      </c>
      <c r="J385" s="0">
        <v>0</v>
      </c>
    </row>
    <row r="386" spans="1:10" customHeight="0">
      <c r="A386" s="0">
        <f>HYPERLINK("https://dl.dropboxusercontent.com/scl/fi/8wc7hw6xdyfcqy00ksfcx/128924-f.jpg?rlkey=q1d2hzax9tp79g5lod878kva5&amp;dl=0","Click to download Image")</f>
      </c>
      <c r="B386" s="0">
        <f>HYPERLINK("https://dl.dropboxusercontent.com/scl/fi/19hqdxjzmk3dzhbhi798q/womens-hoodie-and-sweatshirt-size-chartsliv-zip.jpg?rlkey=5flklt02qijjyn3esxsw7kpng&amp;dl=0","Click to download SizeChart")</f>
      </c>
      <c r="C386" s="0" t="inlineStr">
        <is>
          <t>Liv Women's Full Zip</t>
        </is>
      </c>
      <c r="D386" s="1">
        <v>128924</v>
      </c>
      <c r="E386" s="0" t="inlineStr">
        <is>
          <t>IOWA LIV W CO:128924A-S</t>
        </is>
      </c>
      <c r="F386" s="2">
        <v>800128924048</v>
      </c>
      <c r="G386" s="0" t="inlineStr">
        <is>
          <t>WOMENS</t>
        </is>
      </c>
      <c r="H386" s="0" t="inlineStr">
        <is>
          <t>S</t>
        </is>
      </c>
      <c r="I386" s="0">
        <v>59.99</v>
      </c>
      <c r="J386" s="0">
        <v>1</v>
      </c>
    </row>
    <row r="387" spans="1:10" customHeight="0">
      <c r="A387" s="0">
        <f>HYPERLINK("https://dl.dropboxusercontent.com/scl/fi/8wc7hw6xdyfcqy00ksfcx/128924-f.jpg?rlkey=q1d2hzax9tp79g5lod878kva5&amp;dl=0","Click to download Image")</f>
      </c>
      <c r="B387" s="0">
        <f>HYPERLINK("https://dl.dropboxusercontent.com/scl/fi/19hqdxjzmk3dzhbhi798q/womens-hoodie-and-sweatshirt-size-chartsliv-zip.jpg?rlkey=5flklt02qijjyn3esxsw7kpng&amp;dl=0","Click to download SizeChart")</f>
      </c>
      <c r="C387" s="0" t="inlineStr">
        <is>
          <t>Liv Women's Full Zip</t>
        </is>
      </c>
      <c r="D387" s="1">
        <v>128924</v>
      </c>
      <c r="E387" s="0" t="inlineStr">
        <is>
          <t>IOWA LIV W CO:128924B-M</t>
        </is>
      </c>
      <c r="F387" s="2">
        <v>800128924055</v>
      </c>
      <c r="G387" s="0" t="inlineStr">
        <is>
          <t>WOMENS</t>
        </is>
      </c>
      <c r="H387" s="0" t="inlineStr">
        <is>
          <t>M</t>
        </is>
      </c>
      <c r="I387" s="0">
        <v>59.99</v>
      </c>
      <c r="J387" s="0">
        <v>5</v>
      </c>
    </row>
    <row r="388" spans="1:10" customHeight="0">
      <c r="A388" s="0">
        <f>HYPERLINK("https://dl.dropboxusercontent.com/scl/fi/8wc7hw6xdyfcqy00ksfcx/128924-f.jpg?rlkey=q1d2hzax9tp79g5lod878kva5&amp;dl=0","Click to download Image")</f>
      </c>
      <c r="B388" s="0">
        <f>HYPERLINK("https://dl.dropboxusercontent.com/scl/fi/19hqdxjzmk3dzhbhi798q/womens-hoodie-and-sweatshirt-size-chartsliv-zip.jpg?rlkey=5flklt02qijjyn3esxsw7kpng&amp;dl=0","Click to download SizeChart")</f>
      </c>
      <c r="C388" s="0" t="inlineStr">
        <is>
          <t>Liv Women's Full Zip</t>
        </is>
      </c>
      <c r="D388" s="1">
        <v>128924</v>
      </c>
      <c r="E388" s="0" t="inlineStr">
        <is>
          <t>IOWA LIV W CO:128924C-L</t>
        </is>
      </c>
      <c r="F388" s="2">
        <v>800128924062</v>
      </c>
      <c r="G388" s="0" t="inlineStr">
        <is>
          <t>WOMENS</t>
        </is>
      </c>
      <c r="H388" s="0" t="inlineStr">
        <is>
          <t>L</t>
        </is>
      </c>
      <c r="I388" s="0">
        <v>59.99</v>
      </c>
      <c r="J388" s="0">
        <v>12</v>
      </c>
    </row>
    <row r="389" spans="1:10" customHeight="0">
      <c r="A389" s="0">
        <f>HYPERLINK("https://dl.dropboxusercontent.com/scl/fi/8wc7hw6xdyfcqy00ksfcx/128924-f.jpg?rlkey=q1d2hzax9tp79g5lod878kva5&amp;dl=0","Click to download Image")</f>
      </c>
      <c r="B389" s="0">
        <f>HYPERLINK("https://dl.dropboxusercontent.com/scl/fi/19hqdxjzmk3dzhbhi798q/womens-hoodie-and-sweatshirt-size-chartsliv-zip.jpg?rlkey=5flklt02qijjyn3esxsw7kpng&amp;dl=0","Click to download SizeChart")</f>
      </c>
      <c r="C389" s="0" t="inlineStr">
        <is>
          <t>Liv Women's Full Zip</t>
        </is>
      </c>
      <c r="D389" s="1">
        <v>128924</v>
      </c>
      <c r="E389" s="0" t="inlineStr">
        <is>
          <t>IOWA LIV W CO:128924D-XL</t>
        </is>
      </c>
      <c r="F389" s="2">
        <v>800128924079</v>
      </c>
      <c r="G389" s="0" t="inlineStr">
        <is>
          <t>WOMENS</t>
        </is>
      </c>
      <c r="H389" s="0" t="inlineStr">
        <is>
          <t>XL</t>
        </is>
      </c>
      <c r="I389" s="0">
        <v>59.99</v>
      </c>
      <c r="J389" s="0">
        <v>3</v>
      </c>
    </row>
    <row r="390" spans="1:10" customHeight="0">
      <c r="A390" s="0">
        <f>HYPERLINK("https://dl.dropboxusercontent.com/scl/fi/8wc7hw6xdyfcqy00ksfcx/128924-f.jpg?rlkey=q1d2hzax9tp79g5lod878kva5&amp;dl=0","Click to download Image")</f>
      </c>
      <c r="B390" s="0">
        <f>HYPERLINK("https://dl.dropboxusercontent.com/scl/fi/19hqdxjzmk3dzhbhi798q/womens-hoodie-and-sweatshirt-size-chartsliv-zip.jpg?rlkey=5flklt02qijjyn3esxsw7kpng&amp;dl=0","Click to download SizeChart")</f>
      </c>
      <c r="C390" s="0" t="inlineStr">
        <is>
          <t>Liv Women's Full Zip</t>
        </is>
      </c>
      <c r="D390" s="1">
        <v>128924</v>
      </c>
      <c r="E390" s="0" t="inlineStr">
        <is>
          <t>IOWA LIV W CO:128924E-2XL</t>
        </is>
      </c>
      <c r="F390" s="2">
        <v>800128924086</v>
      </c>
      <c r="G390" s="0" t="inlineStr">
        <is>
          <t>WOMENS</t>
        </is>
      </c>
      <c r="H390" s="0" t="inlineStr">
        <is>
          <t>2XL</t>
        </is>
      </c>
      <c r="I390" s="0">
        <v>59.99</v>
      </c>
      <c r="J390" s="0">
        <v>3</v>
      </c>
    </row>
    <row r="391" spans="1:10" customHeight="0">
      <c r="A391" s="0">
        <f>HYPERLINK("https://dl.dropboxusercontent.com/scl/fi/8wc7hw6xdyfcqy00ksfcx/128924-f.jpg?rlkey=q1d2hzax9tp79g5lod878kva5&amp;dl=0","Click to download Image")</f>
      </c>
      <c r="B391" s="0">
        <f>HYPERLINK("https://dl.dropboxusercontent.com/scl/fi/19hqdxjzmk3dzhbhi798q/womens-hoodie-and-sweatshirt-size-chartsliv-zip.jpg?rlkey=5flklt02qijjyn3esxsw7kpng&amp;dl=0","Click to download SizeChart")</f>
      </c>
      <c r="C391" s="0" t="inlineStr">
        <is>
          <t>Liv Women's Full Zip</t>
        </is>
      </c>
      <c r="D391" s="1">
        <v>128924</v>
      </c>
      <c r="E391" s="0" t="inlineStr">
        <is>
          <t>IOWA LIV W CO:128924F-3XL</t>
        </is>
      </c>
      <c r="F391" s="2">
        <v>800128924093</v>
      </c>
      <c r="G391" s="0" t="inlineStr">
        <is>
          <t>WOMENS</t>
        </is>
      </c>
      <c r="H391" s="0" t="inlineStr">
        <is>
          <t>3XL</t>
        </is>
      </c>
      <c r="I391" s="0">
        <v>59.99</v>
      </c>
      <c r="J391" s="0">
        <v>2</v>
      </c>
    </row>
    <row r="392" spans="1:10" customHeight="0">
      <c r="A392" s="0">
        <f>HYPERLINK("https://dl.dropboxusercontent.com/scl/fi/8wc7hw6xdyfcqy00ksfcx/128924-f.jpg?rlkey=q1d2hzax9tp79g5lod878kva5&amp;dl=0","Click to download Image")</f>
      </c>
      <c r="B392" s="0">
        <f>HYPERLINK("https://dl.dropboxusercontent.com/scl/fi/19hqdxjzmk3dzhbhi798q/womens-hoodie-and-sweatshirt-size-chartsliv-zip.jpg?rlkey=5flklt02qijjyn3esxsw7kpng&amp;dl=0","Click to download SizeChart")</f>
      </c>
      <c r="C392" s="0" t="inlineStr">
        <is>
          <t>Liv Women's Full Zip</t>
        </is>
      </c>
      <c r="D392" s="1">
        <v>128924</v>
      </c>
      <c r="E392" s="0" t="inlineStr">
        <is>
          <t>IOWA LIV W CO 12PK:128924Z-12PK</t>
        </is>
      </c>
      <c r="F392" s="2">
        <v>800128924994</v>
      </c>
      <c r="G392" s="0" t="inlineStr">
        <is>
          <t>WOMENS</t>
        </is>
      </c>
      <c r="H392" s="0" t="inlineStr">
        <is>
          <t>12 PACK</t>
        </is>
      </c>
      <c r="I392" s="0">
        <v>576</v>
      </c>
      <c r="J392" s="0">
        <v>0</v>
      </c>
    </row>
    <row r="393" spans="1:10" customHeight="0">
      <c r="A393" s="0">
        <f>HYPERLINK("https://dl.dropboxusercontent.com/scl/fi/35jacpt3r2uat4jxmoiv4/f22-68bc.jpg?rlkey=8etmpfxge74mcbj28wshec7cy&amp;dl=0","Click to download Image")</f>
      </c>
      <c r="C393" s="0" t="inlineStr">
        <is>
          <t>Layla Womens Cap</t>
        </is>
      </c>
      <c r="D393" s="1">
        <v>126868</v>
      </c>
      <c r="E393" s="0" t="inlineStr">
        <is>
          <t>IOWA LAYLA A BK:126868</t>
        </is>
      </c>
      <c r="F393" s="2">
        <v>700126868019</v>
      </c>
      <c r="G393" s="0" t="inlineStr">
        <is>
          <t>WOMENS</t>
        </is>
      </c>
      <c r="H393" s="0" t="inlineStr">
        <is>
          <t>WOMENS</t>
        </is>
      </c>
      <c r="I393" s="0">
        <v>24.99</v>
      </c>
      <c r="J393" s="0">
        <v>10</v>
      </c>
    </row>
    <row r="394" spans="1:10" customHeight="0">
      <c r="A394" s="0">
        <f>HYPERLINK("https://dl.dropboxusercontent.com/scl/fi/766yn8039jcyvjl2auh4b/128931-f.jpg?rlkey=ktx3zgggz9k5ssw1kt17aza48&amp;dl=0","Click to download Image")</f>
      </c>
      <c r="B394" s="0">
        <f>HYPERLINK("https://dl.dropboxusercontent.com/scl/fi/bjtsi7cfi45oy3xx2z427/womens-hoodie-and-sweatshirt-size-chartsrevel.jpg?rlkey=p7ghgry5zxk8cm6myh0n7mk10&amp;dl=0","Click to download SizeChart")</f>
      </c>
      <c r="C394" s="0" t="inlineStr">
        <is>
          <t>Revel Women's Hoodie</t>
        </is>
      </c>
      <c r="D394" s="1">
        <v>128931</v>
      </c>
      <c r="E394" s="0" t="inlineStr">
        <is>
          <t>IOWA REVEL W LG:128931A-S</t>
        </is>
      </c>
      <c r="F394" s="2">
        <v>800128931046</v>
      </c>
      <c r="G394" s="0" t="inlineStr">
        <is>
          <t>WOMENS</t>
        </is>
      </c>
      <c r="H394" s="0" t="inlineStr">
        <is>
          <t>S</t>
        </is>
      </c>
      <c r="I394" s="0">
        <v>59.99</v>
      </c>
      <c r="J394" s="0">
        <v>7</v>
      </c>
    </row>
    <row r="395" spans="1:10" customHeight="0">
      <c r="A395" s="0">
        <f>HYPERLINK("https://dl.dropboxusercontent.com/scl/fi/766yn8039jcyvjl2auh4b/128931-f.jpg?rlkey=ktx3zgggz9k5ssw1kt17aza48&amp;dl=0","Click to download Image")</f>
      </c>
      <c r="B395" s="0">
        <f>HYPERLINK("https://dl.dropboxusercontent.com/scl/fi/bjtsi7cfi45oy3xx2z427/womens-hoodie-and-sweatshirt-size-chartsrevel.jpg?rlkey=p7ghgry5zxk8cm6myh0n7mk10&amp;dl=0","Click to download SizeChart")</f>
      </c>
      <c r="C395" s="0" t="inlineStr">
        <is>
          <t>Revel Women's Hoodie</t>
        </is>
      </c>
      <c r="D395" s="1">
        <v>128931</v>
      </c>
      <c r="E395" s="0" t="inlineStr">
        <is>
          <t>IOWA REVEL W LG:128931B-M</t>
        </is>
      </c>
      <c r="F395" s="2">
        <v>800128931053</v>
      </c>
      <c r="G395" s="0" t="inlineStr">
        <is>
          <t>WOMENS</t>
        </is>
      </c>
      <c r="H395" s="0" t="inlineStr">
        <is>
          <t>M</t>
        </is>
      </c>
      <c r="I395" s="0">
        <v>59.99</v>
      </c>
      <c r="J395" s="0">
        <v>13</v>
      </c>
    </row>
    <row r="396" spans="1:10" customHeight="0">
      <c r="A396" s="0">
        <f>HYPERLINK("https://dl.dropboxusercontent.com/scl/fi/766yn8039jcyvjl2auh4b/128931-f.jpg?rlkey=ktx3zgggz9k5ssw1kt17aza48&amp;dl=0","Click to download Image")</f>
      </c>
      <c r="B396" s="0">
        <f>HYPERLINK("https://dl.dropboxusercontent.com/scl/fi/bjtsi7cfi45oy3xx2z427/womens-hoodie-and-sweatshirt-size-chartsrevel.jpg?rlkey=p7ghgry5zxk8cm6myh0n7mk10&amp;dl=0","Click to download SizeChart")</f>
      </c>
      <c r="C396" s="0" t="inlineStr">
        <is>
          <t>Revel Women's Hoodie</t>
        </is>
      </c>
      <c r="D396" s="1">
        <v>128931</v>
      </c>
      <c r="E396" s="0" t="inlineStr">
        <is>
          <t>IOWA REVEL W LG:128931C-L</t>
        </is>
      </c>
      <c r="F396" s="2">
        <v>800128931060</v>
      </c>
      <c r="G396" s="0" t="inlineStr">
        <is>
          <t>WOMENS</t>
        </is>
      </c>
      <c r="H396" s="0" t="inlineStr">
        <is>
          <t>L</t>
        </is>
      </c>
      <c r="I396" s="0">
        <v>59.99</v>
      </c>
      <c r="J396" s="0">
        <v>15</v>
      </c>
    </row>
    <row r="397" spans="1:10" customHeight="0">
      <c r="A397" s="0">
        <f>HYPERLINK("https://dl.dropboxusercontent.com/scl/fi/766yn8039jcyvjl2auh4b/128931-f.jpg?rlkey=ktx3zgggz9k5ssw1kt17aza48&amp;dl=0","Click to download Image")</f>
      </c>
      <c r="B397" s="0">
        <f>HYPERLINK("https://dl.dropboxusercontent.com/scl/fi/bjtsi7cfi45oy3xx2z427/womens-hoodie-and-sweatshirt-size-chartsrevel.jpg?rlkey=p7ghgry5zxk8cm6myh0n7mk10&amp;dl=0","Click to download SizeChart")</f>
      </c>
      <c r="C397" s="0" t="inlineStr">
        <is>
          <t>Revel Women's Hoodie</t>
        </is>
      </c>
      <c r="D397" s="1">
        <v>128931</v>
      </c>
      <c r="E397" s="0" t="inlineStr">
        <is>
          <t>IOWA REVEL W LG:128931D-XL</t>
        </is>
      </c>
      <c r="F397" s="2">
        <v>800128931077</v>
      </c>
      <c r="G397" s="0" t="inlineStr">
        <is>
          <t>WOMENS</t>
        </is>
      </c>
      <c r="H397" s="0" t="inlineStr">
        <is>
          <t>XL</t>
        </is>
      </c>
      <c r="I397" s="0">
        <v>59.99</v>
      </c>
      <c r="J397" s="0">
        <v>7</v>
      </c>
    </row>
    <row r="398" spans="1:10" customHeight="0">
      <c r="A398" s="0">
        <f>HYPERLINK("https://dl.dropboxusercontent.com/scl/fi/766yn8039jcyvjl2auh4b/128931-f.jpg?rlkey=ktx3zgggz9k5ssw1kt17aza48&amp;dl=0","Click to download Image")</f>
      </c>
      <c r="B398" s="0">
        <f>HYPERLINK("https://dl.dropboxusercontent.com/scl/fi/bjtsi7cfi45oy3xx2z427/womens-hoodie-and-sweatshirt-size-chartsrevel.jpg?rlkey=p7ghgry5zxk8cm6myh0n7mk10&amp;dl=0","Click to download SizeChart")</f>
      </c>
      <c r="C398" s="0" t="inlineStr">
        <is>
          <t>Revel Women's Hoodie</t>
        </is>
      </c>
      <c r="D398" s="1">
        <v>128931</v>
      </c>
      <c r="E398" s="0" t="inlineStr">
        <is>
          <t>IOWA REVEL W LG:128931E-2XL</t>
        </is>
      </c>
      <c r="F398" s="2">
        <v>800128931084</v>
      </c>
      <c r="G398" s="0" t="inlineStr">
        <is>
          <t>WOMENS</t>
        </is>
      </c>
      <c r="H398" s="0" t="inlineStr">
        <is>
          <t>2XL</t>
        </is>
      </c>
      <c r="I398" s="0">
        <v>59.99</v>
      </c>
      <c r="J398" s="0">
        <v>3</v>
      </c>
    </row>
    <row r="399" spans="1:10" customHeight="0">
      <c r="A399" s="0">
        <f>HYPERLINK("https://dl.dropboxusercontent.com/scl/fi/766yn8039jcyvjl2auh4b/128931-f.jpg?rlkey=ktx3zgggz9k5ssw1kt17aza48&amp;dl=0","Click to download Image")</f>
      </c>
      <c r="B399" s="0">
        <f>HYPERLINK("https://dl.dropboxusercontent.com/scl/fi/bjtsi7cfi45oy3xx2z427/womens-hoodie-and-sweatshirt-size-chartsrevel.jpg?rlkey=p7ghgry5zxk8cm6myh0n7mk10&amp;dl=0","Click to download SizeChart")</f>
      </c>
      <c r="C399" s="0" t="inlineStr">
        <is>
          <t>Revel Women's Hoodie</t>
        </is>
      </c>
      <c r="D399" s="1">
        <v>128931</v>
      </c>
      <c r="E399" s="0" t="inlineStr">
        <is>
          <t>IOWA REVEL W LG:128931F-3XL</t>
        </is>
      </c>
      <c r="F399" s="2">
        <v>800128931091</v>
      </c>
      <c r="G399" s="0" t="inlineStr">
        <is>
          <t>WOMENS</t>
        </is>
      </c>
      <c r="H399" s="0" t="inlineStr">
        <is>
          <t>3XL</t>
        </is>
      </c>
      <c r="I399" s="0">
        <v>59.99</v>
      </c>
      <c r="J399" s="0">
        <v>2</v>
      </c>
    </row>
    <row r="400" spans="1:10" customHeight="0">
      <c r="A400" s="0">
        <f>HYPERLINK("https://dl.dropboxusercontent.com/scl/fi/766yn8039jcyvjl2auh4b/128931-f.jpg?rlkey=ktx3zgggz9k5ssw1kt17aza48&amp;dl=0","Click to download Image")</f>
      </c>
      <c r="B400" s="0">
        <f>HYPERLINK("https://dl.dropboxusercontent.com/scl/fi/bjtsi7cfi45oy3xx2z427/womens-hoodie-and-sweatshirt-size-chartsrevel.jpg?rlkey=p7ghgry5zxk8cm6myh0n7mk10&amp;dl=0","Click to download SizeChart")</f>
      </c>
      <c r="C400" s="0" t="inlineStr">
        <is>
          <t>Revel Women's Hoodie</t>
        </is>
      </c>
      <c r="D400" s="1">
        <v>128931</v>
      </c>
      <c r="E400" s="0" t="inlineStr">
        <is>
          <t>IOWA REVEL W LG 12PK:128931Z-12PK</t>
        </is>
      </c>
      <c r="F400" s="2">
        <v>800128931992</v>
      </c>
      <c r="G400" s="0" t="inlineStr">
        <is>
          <t>WOMENS</t>
        </is>
      </c>
      <c r="H400" s="0" t="inlineStr">
        <is>
          <t>12 PACK</t>
        </is>
      </c>
      <c r="I400" s="0">
        <v>576</v>
      </c>
      <c r="J400" s="0">
        <v>0</v>
      </c>
    </row>
    <row r="401" spans="1:10" customHeight="0">
      <c r="A401" s="0">
        <f>HYPERLINK("https://dl.dropboxusercontent.com/scl/fi/f7kxvpkuq9je46ip0z102/129878-af.jpg?rlkey=71fwmd56s54vq9dsudnjqv80x&amp;dl=0","Click to download Image")</f>
      </c>
      <c r="C401" s="0" t="inlineStr">
        <is>
          <t>Rosalind Women's Cap</t>
        </is>
      </c>
      <c r="D401" s="1">
        <v>129878</v>
      </c>
      <c r="E401" s="0" t="inlineStr">
        <is>
          <t>IOWA ROSALI A BK:129878</t>
        </is>
      </c>
      <c r="F401" s="2">
        <v>700129878015</v>
      </c>
      <c r="G401" s="0" t="inlineStr">
        <is>
          <t>WOMENS</t>
        </is>
      </c>
      <c r="H401" s="0" t="inlineStr">
        <is>
          <t>WOMEN:56CM</t>
        </is>
      </c>
      <c r="I401" s="0">
        <v>24</v>
      </c>
      <c r="J401" s="0">
        <v>2</v>
      </c>
    </row>
    <row r="402" spans="1:10" customHeight="0">
      <c r="A402" s="0">
        <f>HYPERLINK("https://dl.dropboxusercontent.com/scl/fi/uvpqwnrk6iqhueivwy1py/129941f.jpg?rlkey=vsxalaloi85uc12jwh1sou3q9&amp;dl=0","Click to download Image")</f>
      </c>
      <c r="C402" s="0" t="inlineStr">
        <is>
          <t>Redgrave Youth Beanie</t>
        </is>
      </c>
      <c r="D402" s="1">
        <v>129941</v>
      </c>
      <c r="E402" s="0" t="inlineStr">
        <is>
          <t>IOWA REDGRA Y GY:129941</t>
        </is>
      </c>
      <c r="F402" s="2">
        <v>700129941016</v>
      </c>
      <c r="G402" s="0" t="inlineStr">
        <is>
          <t>YOUTH</t>
        </is>
      </c>
      <c r="I402" s="0">
        <v>24.99</v>
      </c>
      <c r="J402" s="0">
        <v>16</v>
      </c>
    </row>
    <row r="403" spans="1:10" customHeight="0">
      <c r="A403" s="0">
        <f>HYPERLINK("https://dl.dropboxusercontent.com/scl/fi/jakqtilyhcd3aj08hyir7/screenshot-2024-10-11-at-4.09.28pm.png?rlkey=mlagjhjxzzmdqbx0exbpsty3m&amp;dl=0","Click to download Image")</f>
      </c>
      <c r="C403" s="0" t="inlineStr">
        <is>
          <t>Redgrave Toddler Beanie</t>
        </is>
      </c>
      <c r="D403" s="1">
        <v>140873</v>
      </c>
      <c r="E403" s="0" t="inlineStr">
        <is>
          <t>IOWA REDGRA T GY:140873</t>
        </is>
      </c>
      <c r="F403" s="2">
        <v>700140873013</v>
      </c>
      <c r="G403" s="0" t="inlineStr">
        <is>
          <t>TODDLER</t>
        </is>
      </c>
      <c r="H403" s="0" t="inlineStr">
        <is>
          <t>TODDLER</t>
        </is>
      </c>
      <c r="I403" s="0">
        <v>24.99</v>
      </c>
      <c r="J403" s="0">
        <v>79</v>
      </c>
    </row>
    <row r="404" spans="1:10" customHeight="0">
      <c r="A404" s="0">
        <f>HYPERLINK("https://dl.dropboxusercontent.com/scl/fi/shcolxp9beco1ypk4ns2a/parkin-127083-f.jpg?rlkey=obtv3s8t5ylxjyi8hesji2x4c&amp;dl=0","Click to download Image")</f>
      </c>
      <c r="C404" s="0" t="inlineStr">
        <is>
          <t>Parkin Youth Jacket</t>
        </is>
      </c>
      <c r="D404" s="1">
        <v>127083</v>
      </c>
      <c r="E404" s="0" t="inlineStr">
        <is>
          <t>IOWA PARKIN Y CO:127083B-YS</t>
        </is>
      </c>
      <c r="F404" s="2">
        <v>800127083012</v>
      </c>
      <c r="G404" s="0" t="inlineStr">
        <is>
          <t>YOUTH</t>
        </is>
      </c>
      <c r="H404" s="0" t="inlineStr">
        <is>
          <t>YS</t>
        </is>
      </c>
      <c r="I404" s="0">
        <v>69.99</v>
      </c>
      <c r="J404" s="0">
        <v>7</v>
      </c>
    </row>
    <row r="405" spans="1:10" customHeight="0">
      <c r="A405" s="0">
        <f>HYPERLINK("https://dl.dropboxusercontent.com/scl/fi/shcolxp9beco1ypk4ns2a/parkin-127083-f.jpg?rlkey=obtv3s8t5ylxjyi8hesji2x4c&amp;dl=0","Click to download Image")</f>
      </c>
      <c r="C405" s="0" t="inlineStr">
        <is>
          <t>Parkin Youth Jacket</t>
        </is>
      </c>
      <c r="D405" s="1">
        <v>127083</v>
      </c>
      <c r="E405" s="0" t="inlineStr">
        <is>
          <t>IOWA PARKIN Y CO:127083C-YM</t>
        </is>
      </c>
      <c r="F405" s="2">
        <v>800127083029</v>
      </c>
      <c r="G405" s="0" t="inlineStr">
        <is>
          <t>YOUTH</t>
        </is>
      </c>
      <c r="H405" s="0" t="inlineStr">
        <is>
          <t>YM</t>
        </is>
      </c>
      <c r="I405" s="0">
        <v>69.99</v>
      </c>
      <c r="J405" s="0">
        <v>6</v>
      </c>
    </row>
    <row r="406" spans="1:10" customHeight="0">
      <c r="A406" s="0">
        <f>HYPERLINK("https://dl.dropboxusercontent.com/scl/fi/shcolxp9beco1ypk4ns2a/parkin-127083-f.jpg?rlkey=obtv3s8t5ylxjyi8hesji2x4c&amp;dl=0","Click to download Image")</f>
      </c>
      <c r="C406" s="0" t="inlineStr">
        <is>
          <t>Parkin Youth Jacket</t>
        </is>
      </c>
      <c r="D406" s="1">
        <v>127083</v>
      </c>
      <c r="E406" s="0" t="inlineStr">
        <is>
          <t>IOWA PARKIN Y CO:127083D-YL</t>
        </is>
      </c>
      <c r="F406" s="2">
        <v>800127083036</v>
      </c>
      <c r="G406" s="0" t="inlineStr">
        <is>
          <t>YOUTH</t>
        </is>
      </c>
      <c r="H406" s="0" t="inlineStr">
        <is>
          <t>YL</t>
        </is>
      </c>
      <c r="I406" s="0">
        <v>69.99</v>
      </c>
      <c r="J406" s="0">
        <v>5</v>
      </c>
    </row>
    <row r="407" spans="1:10" customHeight="0">
      <c r="A407" s="0">
        <f>HYPERLINK("https://dl.dropboxusercontent.com/scl/fi/shcolxp9beco1ypk4ns2a/parkin-127083-f.jpg?rlkey=obtv3s8t5ylxjyi8hesji2x4c&amp;dl=0","Click to download Image")</f>
      </c>
      <c r="C407" s="0" t="inlineStr">
        <is>
          <t>Parkin Youth Jacket</t>
        </is>
      </c>
      <c r="D407" s="1">
        <v>127083</v>
      </c>
      <c r="E407" s="0" t="inlineStr">
        <is>
          <t>IOWA PARKIN Y CO:127083E-YXL</t>
        </is>
      </c>
      <c r="F407" s="2">
        <v>800127083043</v>
      </c>
      <c r="G407" s="0" t="inlineStr">
        <is>
          <t>YOUTH</t>
        </is>
      </c>
      <c r="H407" s="0" t="inlineStr">
        <is>
          <t>YXL</t>
        </is>
      </c>
      <c r="I407" s="0">
        <v>69.99</v>
      </c>
      <c r="J407" s="0">
        <v>5</v>
      </c>
    </row>
    <row r="408" spans="1:10" customHeight="0">
      <c r="A408" s="0">
        <f>HYPERLINK("https://dl.dropboxusercontent.com/scl/fi/shcolxp9beco1ypk4ns2a/parkin-127083-f.jpg?rlkey=obtv3s8t5ylxjyi8hesji2x4c&amp;dl=0","Click to download Image")</f>
      </c>
      <c r="C408" s="0" t="inlineStr">
        <is>
          <t>Parkin Youth Jacket</t>
        </is>
      </c>
      <c r="D408" s="1">
        <v>127083</v>
      </c>
      <c r="E408" s="0" t="inlineStr">
        <is>
          <t>IOWA PARKIN Y CO 12PK:127083Z-12PK</t>
        </is>
      </c>
      <c r="F408" s="2">
        <v>800127083999</v>
      </c>
      <c r="G408" s="0" t="inlineStr">
        <is>
          <t>YOUTH</t>
        </is>
      </c>
      <c r="H408" s="0" t="inlineStr">
        <is>
          <t>12 PACK</t>
        </is>
      </c>
      <c r="I408" s="0">
        <v>678</v>
      </c>
      <c r="J408" s="0">
        <v>0</v>
      </c>
    </row>
    <row r="409" spans="1:10" customHeight="0">
      <c r="A409" s="0">
        <f>HYPERLINK("https://dl.dropboxusercontent.com/scl/fi/9hixa43w5awrwv7q8bdwq/parkin-127083-f.jpg?rlkey=q54skj6z761pq4trr68msv720&amp;dl=0","Click to download Image")</f>
      </c>
      <c r="C409" s="0" t="inlineStr">
        <is>
          <t>Parkin Toddler Jacket</t>
        </is>
      </c>
      <c r="D409" s="1">
        <v>131329</v>
      </c>
      <c r="E409" s="0" t="inlineStr">
        <is>
          <t>IOWA PARKIN T BC:131329A-2T</t>
        </is>
      </c>
      <c r="F409" s="2">
        <v>800131329083</v>
      </c>
      <c r="G409" s="0" t="inlineStr">
        <is>
          <t>TODDLER</t>
        </is>
      </c>
      <c r="H409" s="0" t="inlineStr">
        <is>
          <t>2T</t>
        </is>
      </c>
      <c r="I409" s="0">
        <v>69.99</v>
      </c>
      <c r="J409" s="0">
        <v>6</v>
      </c>
    </row>
    <row r="410" spans="1:10" customHeight="0">
      <c r="A410" s="0">
        <f>HYPERLINK("https://dl.dropboxusercontent.com/scl/fi/9hixa43w5awrwv7q8bdwq/parkin-127083-f.jpg?rlkey=q54skj6z761pq4trr68msv720&amp;dl=0","Click to download Image")</f>
      </c>
      <c r="C410" s="0" t="inlineStr">
        <is>
          <t>Parkin Toddler Jacket</t>
        </is>
      </c>
      <c r="D410" s="1">
        <v>131329</v>
      </c>
      <c r="E410" s="0" t="inlineStr">
        <is>
          <t>IOWA PARKIN T BC:131329B-3T</t>
        </is>
      </c>
      <c r="F410" s="2">
        <v>800131329090</v>
      </c>
      <c r="G410" s="0" t="inlineStr">
        <is>
          <t>TODDLER</t>
        </is>
      </c>
      <c r="H410" s="0" t="inlineStr">
        <is>
          <t>3T</t>
        </is>
      </c>
      <c r="I410" s="0">
        <v>69.99</v>
      </c>
      <c r="J410" s="0">
        <v>6</v>
      </c>
    </row>
    <row r="411" spans="1:10" customHeight="0">
      <c r="A411" s="0">
        <f>HYPERLINK("https://dl.dropboxusercontent.com/scl/fi/9hixa43w5awrwv7q8bdwq/parkin-127083-f.jpg?rlkey=q54skj6z761pq4trr68msv720&amp;dl=0","Click to download Image")</f>
      </c>
      <c r="C411" s="0" t="inlineStr">
        <is>
          <t>Parkin Toddler Jacket</t>
        </is>
      </c>
      <c r="D411" s="1">
        <v>131329</v>
      </c>
      <c r="E411" s="0" t="inlineStr">
        <is>
          <t>IOWA PARKIN T BC:131329C-4T</t>
        </is>
      </c>
      <c r="F411" s="2">
        <v>800131329106</v>
      </c>
      <c r="G411" s="0" t="inlineStr">
        <is>
          <t>TODDLER</t>
        </is>
      </c>
      <c r="H411" s="0" t="inlineStr">
        <is>
          <t>4T</t>
        </is>
      </c>
      <c r="I411" s="0">
        <v>69.99</v>
      </c>
      <c r="J411" s="0">
        <v>5</v>
      </c>
    </row>
    <row r="412" spans="1:10" customHeight="0">
      <c r="A412" s="0">
        <f>HYPERLINK("https://dl.dropboxusercontent.com/scl/fi/9hixa43w5awrwv7q8bdwq/parkin-127083-f.jpg?rlkey=q54skj6z761pq4trr68msv720&amp;dl=0","Click to download Image")</f>
      </c>
      <c r="C412" s="0" t="inlineStr">
        <is>
          <t>Parkin Toddler Jacket</t>
        </is>
      </c>
      <c r="D412" s="1">
        <v>131329</v>
      </c>
      <c r="E412" s="0" t="inlineStr">
        <is>
          <t>IOWA PARKIN T BC:131329D-5T</t>
        </is>
      </c>
      <c r="F412" s="2">
        <v>800131329113</v>
      </c>
      <c r="G412" s="0" t="inlineStr">
        <is>
          <t>TODDLER</t>
        </is>
      </c>
      <c r="H412" s="0" t="inlineStr">
        <is>
          <t>5T</t>
        </is>
      </c>
      <c r="I412" s="0">
        <v>69.99</v>
      </c>
      <c r="J412" s="0">
        <v>6</v>
      </c>
    </row>
    <row r="413" spans="1:10" customHeight="0">
      <c r="A413" s="0">
        <f>HYPERLINK("https://dl.dropboxusercontent.com/scl/fi/9hixa43w5awrwv7q8bdwq/parkin-127083-f.jpg?rlkey=q54skj6z761pq4trr68msv720&amp;dl=0","Click to download Image")</f>
      </c>
      <c r="C413" s="0" t="inlineStr">
        <is>
          <t>Parkin Toddler Jacket</t>
        </is>
      </c>
      <c r="D413" s="1">
        <v>131329</v>
      </c>
      <c r="E413" s="0" t="inlineStr">
        <is>
          <t>IOWA PARKIN T BC 12PK:131329Z-12PK</t>
        </is>
      </c>
      <c r="F413" s="2">
        <v>800131329991</v>
      </c>
      <c r="G413" s="0" t="inlineStr">
        <is>
          <t>TODDLER</t>
        </is>
      </c>
      <c r="H413" s="0" t="inlineStr">
        <is>
          <t>12 PACK</t>
        </is>
      </c>
      <c r="I413" s="0">
        <v>678</v>
      </c>
      <c r="J413" s="0">
        <v>0</v>
      </c>
    </row>
    <row r="414" spans="1:10" customHeight="0">
      <c r="A414" s="0">
        <f>HYPERLINK("https://dl.dropboxusercontent.com/scl/fi/o8fp4z4j81ltc5l2qthkm/owens-156499-f.jpg?rlkey=mkoqdp9hyrexvleqpq4d7rodi&amp;dl=0","Click to download Image")</f>
      </c>
      <c r="C414" s="0" t="inlineStr">
        <is>
          <t>Owens Men's Beanie</t>
        </is>
      </c>
      <c r="D414" s="1">
        <v>156499</v>
      </c>
      <c r="E414" s="0" t="inlineStr">
        <is>
          <t>IOWA OWENS A BK:156499</t>
        </is>
      </c>
      <c r="F414" s="2">
        <v>700156499016</v>
      </c>
      <c r="G414" s="0" t="inlineStr">
        <is>
          <t>MENS</t>
        </is>
      </c>
      <c r="H414" s="0" t="inlineStr">
        <is>
          <t>ADULT</t>
        </is>
      </c>
      <c r="I414" s="0">
        <v>24.99</v>
      </c>
      <c r="J414" s="0">
        <v>20</v>
      </c>
    </row>
    <row r="415" spans="1:10" customHeight="0">
      <c r="A415" s="0">
        <f>HYPERLINK("https://dl.dropboxusercontent.com/scl/fi/rkk3x7nozs9miyts0oztf/naomi-129817-f.jpg?rlkey=ofwxcs6t7n2ujel4iq3cfso8l&amp;dl=0","Click to download Image")</f>
      </c>
      <c r="C415" s="0" t="inlineStr">
        <is>
          <t>Naomi Toddler Pullover</t>
        </is>
      </c>
      <c r="D415" s="1">
        <v>131352</v>
      </c>
      <c r="E415" s="0" t="inlineStr">
        <is>
          <t>IOWA NAOMI T BK:131352A-2T</t>
        </is>
      </c>
      <c r="F415" s="2">
        <v>800131352081</v>
      </c>
      <c r="G415" s="0" t="inlineStr">
        <is>
          <t>TODDLER</t>
        </is>
      </c>
      <c r="H415" s="0" t="inlineStr">
        <is>
          <t>2T</t>
        </is>
      </c>
      <c r="I415" s="0">
        <v>34.99</v>
      </c>
      <c r="J415" s="0">
        <v>8</v>
      </c>
    </row>
    <row r="416" spans="1:10" customHeight="0">
      <c r="A416" s="0">
        <f>HYPERLINK("https://dl.dropboxusercontent.com/scl/fi/rkk3x7nozs9miyts0oztf/naomi-129817-f.jpg?rlkey=ofwxcs6t7n2ujel4iq3cfso8l&amp;dl=0","Click to download Image")</f>
      </c>
      <c r="C416" s="0" t="inlineStr">
        <is>
          <t>Naomi Toddler Pullover</t>
        </is>
      </c>
      <c r="D416" s="1">
        <v>131352</v>
      </c>
      <c r="E416" s="0" t="inlineStr">
        <is>
          <t>IOWA NAOMI T BK:131352B-3T</t>
        </is>
      </c>
      <c r="F416" s="2">
        <v>800131352098</v>
      </c>
      <c r="G416" s="0" t="inlineStr">
        <is>
          <t>TODDLER</t>
        </is>
      </c>
      <c r="H416" s="0" t="inlineStr">
        <is>
          <t>3T</t>
        </is>
      </c>
      <c r="I416" s="0">
        <v>34.99</v>
      </c>
      <c r="J416" s="0">
        <v>9</v>
      </c>
    </row>
    <row r="417" spans="1:10" customHeight="0">
      <c r="A417" s="0">
        <f>HYPERLINK("https://dl.dropboxusercontent.com/scl/fi/rkk3x7nozs9miyts0oztf/naomi-129817-f.jpg?rlkey=ofwxcs6t7n2ujel4iq3cfso8l&amp;dl=0","Click to download Image")</f>
      </c>
      <c r="C417" s="0" t="inlineStr">
        <is>
          <t>Naomi Toddler Pullover</t>
        </is>
      </c>
      <c r="D417" s="1">
        <v>131352</v>
      </c>
      <c r="E417" s="0" t="inlineStr">
        <is>
          <t>IOWA NAOMI T BK:131352C-4T</t>
        </is>
      </c>
      <c r="F417" s="2">
        <v>800131352104</v>
      </c>
      <c r="G417" s="0" t="inlineStr">
        <is>
          <t>TODDLER</t>
        </is>
      </c>
      <c r="H417" s="0" t="inlineStr">
        <is>
          <t>4T</t>
        </is>
      </c>
      <c r="I417" s="0">
        <v>34.99</v>
      </c>
      <c r="J417" s="0">
        <v>9</v>
      </c>
    </row>
    <row r="418" spans="1:10" customHeight="0">
      <c r="A418" s="0">
        <f>HYPERLINK("https://dl.dropboxusercontent.com/scl/fi/rkk3x7nozs9miyts0oztf/naomi-129817-f.jpg?rlkey=ofwxcs6t7n2ujel4iq3cfso8l&amp;dl=0","Click to download Image")</f>
      </c>
      <c r="C418" s="0" t="inlineStr">
        <is>
          <t>Naomi Toddler Pullover</t>
        </is>
      </c>
      <c r="D418" s="1">
        <v>131352</v>
      </c>
      <c r="E418" s="0" t="inlineStr">
        <is>
          <t>IOWA NAOMI T BK:131352D-5T</t>
        </is>
      </c>
      <c r="F418" s="2">
        <v>800131352111</v>
      </c>
      <c r="G418" s="0" t="inlineStr">
        <is>
          <t>TODDLER</t>
        </is>
      </c>
      <c r="H418" s="0" t="inlineStr">
        <is>
          <t>5T</t>
        </is>
      </c>
      <c r="I418" s="0">
        <v>34.99</v>
      </c>
      <c r="J418" s="0">
        <v>9</v>
      </c>
    </row>
    <row r="419" spans="1:10" customHeight="0">
      <c r="A419" s="0">
        <f>HYPERLINK("https://dl.dropboxusercontent.com/scl/fi/rkk3x7nozs9miyts0oztf/naomi-129817-f.jpg?rlkey=ofwxcs6t7n2ujel4iq3cfso8l&amp;dl=0","Click to download Image")</f>
      </c>
      <c r="C419" s="0" t="inlineStr">
        <is>
          <t>Naomi Toddler Pullover</t>
        </is>
      </c>
      <c r="D419" s="1">
        <v>131352</v>
      </c>
      <c r="E419" s="0" t="inlineStr">
        <is>
          <t>IOWA NAOMI T BK 12PK:131352Z-12PK</t>
        </is>
      </c>
      <c r="F419" s="2">
        <v>800131352999</v>
      </c>
      <c r="G419" s="0" t="inlineStr">
        <is>
          <t>TODDLER</t>
        </is>
      </c>
      <c r="H419" s="0" t="inlineStr">
        <is>
          <t>12 PACK</t>
        </is>
      </c>
      <c r="I419" s="0">
        <v>336</v>
      </c>
      <c r="J419" s="0">
        <v>0</v>
      </c>
    </row>
    <row r="420" spans="1:10" customHeight="0">
      <c r="A420" s="0">
        <f>HYPERLINK("https://dl.dropboxusercontent.com/scl/fi/9bxzs5txy673onxdguwe8/monty-129952-f.jpg?rlkey=9wxg7im5tdjmu4503pytzkrex&amp;dl=0","Click to download Image")</f>
      </c>
      <c r="C420" s="0" t="inlineStr">
        <is>
          <t>Monty Men's Polo</t>
        </is>
      </c>
      <c r="D420" s="1">
        <v>129952</v>
      </c>
      <c r="E420" s="0" t="inlineStr">
        <is>
          <t>IOWA MONTY M BK:129952A-S</t>
        </is>
      </c>
      <c r="F420" s="2">
        <v>800129952040</v>
      </c>
      <c r="G420" s="0" t="inlineStr">
        <is>
          <t>MENS</t>
        </is>
      </c>
      <c r="H420" s="0" t="inlineStr">
        <is>
          <t>S</t>
        </is>
      </c>
      <c r="I420" s="0">
        <v>42.99</v>
      </c>
      <c r="J420" s="0">
        <v>0</v>
      </c>
    </row>
    <row r="421" spans="1:10" customHeight="0">
      <c r="A421" s="0">
        <f>HYPERLINK("https://dl.dropboxusercontent.com/scl/fi/9bxzs5txy673onxdguwe8/monty-129952-f.jpg?rlkey=9wxg7im5tdjmu4503pytzkrex&amp;dl=0","Click to download Image")</f>
      </c>
      <c r="C421" s="0" t="inlineStr">
        <is>
          <t>Monty Men's Polo</t>
        </is>
      </c>
      <c r="D421" s="1">
        <v>129952</v>
      </c>
      <c r="E421" s="0" t="inlineStr">
        <is>
          <t>IOWA MONTY M BK:129952B-M</t>
        </is>
      </c>
      <c r="F421" s="2">
        <v>800129952057</v>
      </c>
      <c r="G421" s="0" t="inlineStr">
        <is>
          <t>MENS</t>
        </is>
      </c>
      <c r="H421" s="0" t="inlineStr">
        <is>
          <t>M</t>
        </is>
      </c>
      <c r="I421" s="0">
        <v>42.99</v>
      </c>
      <c r="J421" s="0">
        <v>1</v>
      </c>
    </row>
    <row r="422" spans="1:10" customHeight="0">
      <c r="A422" s="0">
        <f>HYPERLINK("https://dl.dropboxusercontent.com/scl/fi/9bxzs5txy673onxdguwe8/monty-129952-f.jpg?rlkey=9wxg7im5tdjmu4503pytzkrex&amp;dl=0","Click to download Image")</f>
      </c>
      <c r="C422" s="0" t="inlineStr">
        <is>
          <t>Monty Men's Polo</t>
        </is>
      </c>
      <c r="D422" s="1">
        <v>129952</v>
      </c>
      <c r="E422" s="0" t="inlineStr">
        <is>
          <t>IOWA MONTY M BK:129952C-L</t>
        </is>
      </c>
      <c r="F422" s="2">
        <v>800129952064</v>
      </c>
      <c r="G422" s="0" t="inlineStr">
        <is>
          <t>MENS</t>
        </is>
      </c>
      <c r="H422" s="0" t="inlineStr">
        <is>
          <t>L</t>
        </is>
      </c>
      <c r="I422" s="0">
        <v>42.99</v>
      </c>
      <c r="J422" s="0">
        <v>0</v>
      </c>
    </row>
    <row r="423" spans="1:10" customHeight="0">
      <c r="A423" s="0">
        <f>HYPERLINK("https://dl.dropboxusercontent.com/scl/fi/9bxzs5txy673onxdguwe8/monty-129952-f.jpg?rlkey=9wxg7im5tdjmu4503pytzkrex&amp;dl=0","Click to download Image")</f>
      </c>
      <c r="C423" s="0" t="inlineStr">
        <is>
          <t>Monty Men's Polo</t>
        </is>
      </c>
      <c r="D423" s="1">
        <v>129952</v>
      </c>
      <c r="E423" s="0" t="inlineStr">
        <is>
          <t>IOWA MONTY M BK:129952D-XL</t>
        </is>
      </c>
      <c r="F423" s="2">
        <v>800129952071</v>
      </c>
      <c r="G423" s="0" t="inlineStr">
        <is>
          <t>MENS</t>
        </is>
      </c>
      <c r="H423" s="0" t="inlineStr">
        <is>
          <t>XL</t>
        </is>
      </c>
      <c r="I423" s="0">
        <v>42.99</v>
      </c>
      <c r="J423" s="0">
        <v>0</v>
      </c>
    </row>
    <row r="424" spans="1:10" customHeight="0">
      <c r="A424" s="0">
        <f>HYPERLINK("https://dl.dropboxusercontent.com/scl/fi/9bxzs5txy673onxdguwe8/monty-129952-f.jpg?rlkey=9wxg7im5tdjmu4503pytzkrex&amp;dl=0","Click to download Image")</f>
      </c>
      <c r="C424" s="0" t="inlineStr">
        <is>
          <t>Monty Men's Polo</t>
        </is>
      </c>
      <c r="D424" s="1">
        <v>129952</v>
      </c>
      <c r="E424" s="0" t="inlineStr">
        <is>
          <t>IOWA MONTY M BK:129952E-2XL</t>
        </is>
      </c>
      <c r="F424" s="2">
        <v>800129952088</v>
      </c>
      <c r="G424" s="0" t="inlineStr">
        <is>
          <t>MENS</t>
        </is>
      </c>
      <c r="H424" s="0" t="inlineStr">
        <is>
          <t>2XL</t>
        </is>
      </c>
      <c r="I424" s="0">
        <v>42.99</v>
      </c>
      <c r="J424" s="0">
        <v>0</v>
      </c>
    </row>
    <row r="425" spans="1:10" customHeight="0">
      <c r="A425" s="0">
        <f>HYPERLINK("https://dl.dropboxusercontent.com/scl/fi/9bxzs5txy673onxdguwe8/monty-129952-f.jpg?rlkey=9wxg7im5tdjmu4503pytzkrex&amp;dl=0","Click to download Image")</f>
      </c>
      <c r="C425" s="0" t="inlineStr">
        <is>
          <t>Monty Men's Polo</t>
        </is>
      </c>
      <c r="D425" s="1">
        <v>129952</v>
      </c>
      <c r="E425" s="0" t="inlineStr">
        <is>
          <t>IOWA MONTY M BK:129952F-3XL</t>
        </is>
      </c>
      <c r="F425" s="2">
        <v>800129952095</v>
      </c>
      <c r="G425" s="0" t="inlineStr">
        <is>
          <t>MENS</t>
        </is>
      </c>
      <c r="H425" s="0" t="inlineStr">
        <is>
          <t>3XL</t>
        </is>
      </c>
      <c r="I425" s="0">
        <v>42.99</v>
      </c>
      <c r="J425" s="0">
        <v>0</v>
      </c>
    </row>
    <row r="426" spans="1:10" customHeight="0">
      <c r="A426" s="0">
        <f>HYPERLINK("https://dl.dropboxusercontent.com/scl/fi/9bxzs5txy673onxdguwe8/monty-129952-f.jpg?rlkey=9wxg7im5tdjmu4503pytzkrex&amp;dl=0","Click to download Image")</f>
      </c>
      <c r="C426" s="0" t="inlineStr">
        <is>
          <t>Monty Men's Polo</t>
        </is>
      </c>
      <c r="D426" s="1">
        <v>129952</v>
      </c>
      <c r="E426" s="0" t="inlineStr">
        <is>
          <t>IOWA MONTY M BK 12:129952Z-12PK</t>
        </is>
      </c>
      <c r="F426" s="2">
        <v>800129952996</v>
      </c>
      <c r="G426" s="0" t="inlineStr">
        <is>
          <t>MENS</t>
        </is>
      </c>
      <c r="H426" s="0" t="inlineStr">
        <is>
          <t>12 PACK</t>
        </is>
      </c>
      <c r="I426" s="0">
        <v>418.6</v>
      </c>
      <c r="J426" s="0">
        <v>0</v>
      </c>
    </row>
    <row r="427" spans="1:10" customHeight="0">
      <c r="A427" s="0">
        <f>HYPERLINK("https://dl.dropboxusercontent.com/scl/fi/j42y6i2wlgyz5wuprqd5q/dsc8526-edit.jpg?rlkey=wrj2c2ba64tfh52onbycl1y0y&amp;dl=0","Click to download Image")</f>
      </c>
      <c r="B427" s="0">
        <f>HYPERLINK("https://dl.dropboxusercontent.com/scl/fi/mt77eellmtb0n3vhan301/mens-pullover-size-chartsmiro.jpg?rlkey=qxkv1k8xo8g507rhtfblhqj97&amp;dl=0","Click to download SizeChart")</f>
      </c>
      <c r="C427" s="0" t="inlineStr">
        <is>
          <t>Miro Men's Pullover</t>
        </is>
      </c>
      <c r="D427" s="1">
        <v>126869</v>
      </c>
      <c r="E427" s="0" t="inlineStr">
        <is>
          <t>IOWA MIRO M BK:126869A-S</t>
        </is>
      </c>
      <c r="F427" s="2">
        <v>800126869044</v>
      </c>
      <c r="G427" s="0" t="inlineStr">
        <is>
          <t>MENS</t>
        </is>
      </c>
      <c r="H427" s="0" t="inlineStr">
        <is>
          <t>S</t>
        </is>
      </c>
      <c r="I427" s="0">
        <v>59.99</v>
      </c>
      <c r="J427" s="0">
        <v>1</v>
      </c>
    </row>
    <row r="428" spans="1:10" customHeight="0">
      <c r="A428" s="0">
        <f>HYPERLINK("https://dl.dropboxusercontent.com/scl/fi/j42y6i2wlgyz5wuprqd5q/dsc8526-edit.jpg?rlkey=wrj2c2ba64tfh52onbycl1y0y&amp;dl=0","Click to download Image")</f>
      </c>
      <c r="B428" s="0">
        <f>HYPERLINK("https://dl.dropboxusercontent.com/scl/fi/mt77eellmtb0n3vhan301/mens-pullover-size-chartsmiro.jpg?rlkey=qxkv1k8xo8g507rhtfblhqj97&amp;dl=0","Click to download SizeChart")</f>
      </c>
      <c r="C428" s="0" t="inlineStr">
        <is>
          <t>Miro Men's Pullover</t>
        </is>
      </c>
      <c r="D428" s="1">
        <v>126869</v>
      </c>
      <c r="E428" s="0" t="inlineStr">
        <is>
          <t>IOWA MIRO M BK:126869B-M</t>
        </is>
      </c>
      <c r="F428" s="2">
        <v>800126869051</v>
      </c>
      <c r="G428" s="0" t="inlineStr">
        <is>
          <t>MENS</t>
        </is>
      </c>
      <c r="H428" s="0" t="inlineStr">
        <is>
          <t>M</t>
        </is>
      </c>
      <c r="I428" s="0">
        <v>59.99</v>
      </c>
      <c r="J428" s="0">
        <v>4</v>
      </c>
    </row>
    <row r="429" spans="1:10" customHeight="0">
      <c r="A429" s="0">
        <f>HYPERLINK("https://dl.dropboxusercontent.com/scl/fi/j42y6i2wlgyz5wuprqd5q/dsc8526-edit.jpg?rlkey=wrj2c2ba64tfh52onbycl1y0y&amp;dl=0","Click to download Image")</f>
      </c>
      <c r="B429" s="0">
        <f>HYPERLINK("https://dl.dropboxusercontent.com/scl/fi/mt77eellmtb0n3vhan301/mens-pullover-size-chartsmiro.jpg?rlkey=qxkv1k8xo8g507rhtfblhqj97&amp;dl=0","Click to download SizeChart")</f>
      </c>
      <c r="C429" s="0" t="inlineStr">
        <is>
          <t>Miro Men's Pullover</t>
        </is>
      </c>
      <c r="D429" s="1">
        <v>126869</v>
      </c>
      <c r="E429" s="0" t="inlineStr">
        <is>
          <t>IOWA MIRO M BK:126869C-L</t>
        </is>
      </c>
      <c r="F429" s="2">
        <v>800126869068</v>
      </c>
      <c r="G429" s="0" t="inlineStr">
        <is>
          <t>MENS</t>
        </is>
      </c>
      <c r="H429" s="0" t="inlineStr">
        <is>
          <t>L</t>
        </is>
      </c>
      <c r="I429" s="0">
        <v>59.99</v>
      </c>
      <c r="J429" s="0">
        <v>0</v>
      </c>
    </row>
    <row r="430" spans="1:10" customHeight="0">
      <c r="A430" s="0">
        <f>HYPERLINK("https://dl.dropboxusercontent.com/scl/fi/j42y6i2wlgyz5wuprqd5q/dsc8526-edit.jpg?rlkey=wrj2c2ba64tfh52onbycl1y0y&amp;dl=0","Click to download Image")</f>
      </c>
      <c r="B430" s="0">
        <f>HYPERLINK("https://dl.dropboxusercontent.com/scl/fi/mt77eellmtb0n3vhan301/mens-pullover-size-chartsmiro.jpg?rlkey=qxkv1k8xo8g507rhtfblhqj97&amp;dl=0","Click to download SizeChart")</f>
      </c>
      <c r="C430" s="0" t="inlineStr">
        <is>
          <t>Miro Men's Pullover</t>
        </is>
      </c>
      <c r="D430" s="1">
        <v>126869</v>
      </c>
      <c r="E430" s="0" t="inlineStr">
        <is>
          <t>IOWA MIRO M BK:126869D-XL</t>
        </is>
      </c>
      <c r="F430" s="2">
        <v>800126869075</v>
      </c>
      <c r="G430" s="0" t="inlineStr">
        <is>
          <t>MENS</t>
        </is>
      </c>
      <c r="H430" s="0" t="inlineStr">
        <is>
          <t>XL</t>
        </is>
      </c>
      <c r="I430" s="0">
        <v>59.99</v>
      </c>
      <c r="J430" s="0">
        <v>0</v>
      </c>
    </row>
    <row r="431" spans="1:10" customHeight="0">
      <c r="A431" s="0">
        <f>HYPERLINK("https://dl.dropboxusercontent.com/scl/fi/j42y6i2wlgyz5wuprqd5q/dsc8526-edit.jpg?rlkey=wrj2c2ba64tfh52onbycl1y0y&amp;dl=0","Click to download Image")</f>
      </c>
      <c r="B431" s="0">
        <f>HYPERLINK("https://dl.dropboxusercontent.com/scl/fi/mt77eellmtb0n3vhan301/mens-pullover-size-chartsmiro.jpg?rlkey=qxkv1k8xo8g507rhtfblhqj97&amp;dl=0","Click to download SizeChart")</f>
      </c>
      <c r="C431" s="0" t="inlineStr">
        <is>
          <t>Miro Men's Pullover</t>
        </is>
      </c>
      <c r="D431" s="1">
        <v>126869</v>
      </c>
      <c r="E431" s="0" t="inlineStr">
        <is>
          <t>IOWA MIRO M BK:126869E-2XL</t>
        </is>
      </c>
      <c r="F431" s="2">
        <v>800126869082</v>
      </c>
      <c r="G431" s="0" t="inlineStr">
        <is>
          <t>MENS</t>
        </is>
      </c>
      <c r="H431" s="0" t="inlineStr">
        <is>
          <t>2XL</t>
        </is>
      </c>
      <c r="I431" s="0">
        <v>59.99</v>
      </c>
      <c r="J431" s="0">
        <v>0</v>
      </c>
    </row>
    <row r="432" spans="1:10" customHeight="0">
      <c r="A432" s="0">
        <f>HYPERLINK("https://dl.dropboxusercontent.com/scl/fi/j42y6i2wlgyz5wuprqd5q/dsc8526-edit.jpg?rlkey=wrj2c2ba64tfh52onbycl1y0y&amp;dl=0","Click to download Image")</f>
      </c>
      <c r="B432" s="0">
        <f>HYPERLINK("https://dl.dropboxusercontent.com/scl/fi/mt77eellmtb0n3vhan301/mens-pullover-size-chartsmiro.jpg?rlkey=qxkv1k8xo8g507rhtfblhqj97&amp;dl=0","Click to download SizeChart")</f>
      </c>
      <c r="C432" s="0" t="inlineStr">
        <is>
          <t>Miro Men's Pullover</t>
        </is>
      </c>
      <c r="D432" s="1">
        <v>126869</v>
      </c>
      <c r="E432" s="0" t="inlineStr">
        <is>
          <t>IOWA MIRO M BK:126869F-3XL</t>
        </is>
      </c>
      <c r="F432" s="2">
        <v>800126869099</v>
      </c>
      <c r="G432" s="0" t="inlineStr">
        <is>
          <t>MENS</t>
        </is>
      </c>
      <c r="H432" s="0" t="inlineStr">
        <is>
          <t>3XL</t>
        </is>
      </c>
      <c r="I432" s="0">
        <v>59.99</v>
      </c>
      <c r="J432" s="0">
        <v>3</v>
      </c>
    </row>
    <row r="433" spans="1:10" customHeight="0">
      <c r="A433" s="0">
        <f>HYPERLINK("https://dl.dropboxusercontent.com/scl/fi/j42y6i2wlgyz5wuprqd5q/dsc8526-edit.jpg?rlkey=wrj2c2ba64tfh52onbycl1y0y&amp;dl=0","Click to download Image")</f>
      </c>
      <c r="B433" s="0">
        <f>HYPERLINK("https://dl.dropboxusercontent.com/scl/fi/mt77eellmtb0n3vhan301/mens-pullover-size-chartsmiro.jpg?rlkey=qxkv1k8xo8g507rhtfblhqj97&amp;dl=0","Click to download SizeChart")</f>
      </c>
      <c r="C433" s="0" t="inlineStr">
        <is>
          <t>Miro Men's Pullover</t>
        </is>
      </c>
      <c r="D433" s="1">
        <v>126869</v>
      </c>
      <c r="E433" s="0" t="inlineStr">
        <is>
          <t>IOWA MIRO M BK 12PK:126869Z-12PK</t>
        </is>
      </c>
      <c r="F433" s="2">
        <v>800126869990</v>
      </c>
      <c r="G433" s="0" t="inlineStr">
        <is>
          <t>MENS</t>
        </is>
      </c>
      <c r="H433" s="0" t="inlineStr">
        <is>
          <t>12 PACK</t>
        </is>
      </c>
      <c r="I433" s="0">
        <v>582</v>
      </c>
      <c r="J433" s="0">
        <v>0</v>
      </c>
    </row>
    <row r="434" spans="1:10" customHeight="0">
      <c r="A434" s="0">
        <f>HYPERLINK("https://dl.dropboxusercontent.com/scl/fi/ovgnnmtyxxz8rqcf5vs8a/kristen-128945-f.jpg?rlkey=tgwy2c9g88hlgx60jco8vqb95&amp;dl=0","Click to download Image")</f>
      </c>
      <c r="C434" s="0" t="inlineStr">
        <is>
          <t>Kristen Youth Hoodie</t>
        </is>
      </c>
      <c r="D434" s="1">
        <v>128945</v>
      </c>
      <c r="E434" s="0" t="inlineStr">
        <is>
          <t>IOWA KRISTE Y BK:128945B-YS</t>
        </is>
      </c>
      <c r="F434" s="2">
        <v>800128945012</v>
      </c>
      <c r="G434" s="0" t="inlineStr">
        <is>
          <t>YOUTH</t>
        </is>
      </c>
      <c r="H434" s="0" t="inlineStr">
        <is>
          <t>YS</t>
        </is>
      </c>
      <c r="I434" s="0">
        <v>49.99</v>
      </c>
      <c r="J434" s="0">
        <v>5</v>
      </c>
    </row>
    <row r="435" spans="1:10" customHeight="0">
      <c r="A435" s="0">
        <f>HYPERLINK("https://dl.dropboxusercontent.com/scl/fi/ovgnnmtyxxz8rqcf5vs8a/kristen-128945-f.jpg?rlkey=tgwy2c9g88hlgx60jco8vqb95&amp;dl=0","Click to download Image")</f>
      </c>
      <c r="C435" s="0" t="inlineStr">
        <is>
          <t>Kristen Youth Hoodie</t>
        </is>
      </c>
      <c r="D435" s="1">
        <v>128945</v>
      </c>
      <c r="E435" s="0" t="inlineStr">
        <is>
          <t>IOWA KRISTE Y BK:128945C-YM</t>
        </is>
      </c>
      <c r="F435" s="2">
        <v>800128945029</v>
      </c>
      <c r="G435" s="0" t="inlineStr">
        <is>
          <t>YOUTH</t>
        </is>
      </c>
      <c r="H435" s="0" t="inlineStr">
        <is>
          <t>YM</t>
        </is>
      </c>
      <c r="I435" s="0">
        <v>49.99</v>
      </c>
      <c r="J435" s="0">
        <v>5</v>
      </c>
    </row>
    <row r="436" spans="1:10" customHeight="0">
      <c r="A436" s="0">
        <f>HYPERLINK("https://dl.dropboxusercontent.com/scl/fi/ovgnnmtyxxz8rqcf5vs8a/kristen-128945-f.jpg?rlkey=tgwy2c9g88hlgx60jco8vqb95&amp;dl=0","Click to download Image")</f>
      </c>
      <c r="C436" s="0" t="inlineStr">
        <is>
          <t>Kristen Youth Hoodie</t>
        </is>
      </c>
      <c r="D436" s="1">
        <v>128945</v>
      </c>
      <c r="E436" s="0" t="inlineStr">
        <is>
          <t>IOWA KRISTE Y BK:128945D-YL</t>
        </is>
      </c>
      <c r="F436" s="2">
        <v>800128945036</v>
      </c>
      <c r="G436" s="0" t="inlineStr">
        <is>
          <t>YOUTH</t>
        </is>
      </c>
      <c r="H436" s="0" t="inlineStr">
        <is>
          <t>YL</t>
        </is>
      </c>
      <c r="I436" s="0">
        <v>49.99</v>
      </c>
      <c r="J436" s="0">
        <v>7</v>
      </c>
    </row>
    <row r="437" spans="1:10" customHeight="0">
      <c r="A437" s="0">
        <f>HYPERLINK("https://dl.dropboxusercontent.com/scl/fi/ovgnnmtyxxz8rqcf5vs8a/kristen-128945-f.jpg?rlkey=tgwy2c9g88hlgx60jco8vqb95&amp;dl=0","Click to download Image")</f>
      </c>
      <c r="C437" s="0" t="inlineStr">
        <is>
          <t>Kristen Youth Hoodie</t>
        </is>
      </c>
      <c r="D437" s="1">
        <v>128945</v>
      </c>
      <c r="E437" s="0" t="inlineStr">
        <is>
          <t>IOWA KRISTE Y BK:128945E-YXL</t>
        </is>
      </c>
      <c r="F437" s="2">
        <v>800128945043</v>
      </c>
      <c r="G437" s="0" t="inlineStr">
        <is>
          <t>YOUTH</t>
        </is>
      </c>
      <c r="H437" s="0" t="inlineStr">
        <is>
          <t>YXL</t>
        </is>
      </c>
      <c r="I437" s="0">
        <v>49.99</v>
      </c>
      <c r="J437" s="0">
        <v>7</v>
      </c>
    </row>
    <row r="438" spans="1:10" customHeight="0">
      <c r="A438" s="0">
        <f>HYPERLINK("https://dl.dropboxusercontent.com/scl/fi/ovgnnmtyxxz8rqcf5vs8a/kristen-128945-f.jpg?rlkey=tgwy2c9g88hlgx60jco8vqb95&amp;dl=0","Click to download Image")</f>
      </c>
      <c r="C438" s="0" t="inlineStr">
        <is>
          <t>Kristen Youth Hoodie</t>
        </is>
      </c>
      <c r="D438" s="1">
        <v>128945</v>
      </c>
      <c r="E438" s="0" t="inlineStr">
        <is>
          <t>IOWA KRISTE Y BK 12PK:128945Z-12PK</t>
        </is>
      </c>
      <c r="F438" s="2">
        <v>800128945999</v>
      </c>
      <c r="G438" s="0" t="inlineStr">
        <is>
          <t>YOUTH</t>
        </is>
      </c>
      <c r="H438" s="0" t="inlineStr">
        <is>
          <t>12 PACK</t>
        </is>
      </c>
      <c r="I438" s="0">
        <v>480</v>
      </c>
      <c r="J438" s="0">
        <v>0</v>
      </c>
    </row>
    <row r="439" spans="1:10" customHeight="0">
      <c r="A439" s="0">
        <f>HYPERLINK("https://dl.dropboxusercontent.com/scl/fi/1vn05tby1yg8k0yi1e3e1/kristen-132535-f.jpg?rlkey=cf8d2cj1w50i9495rguukchkc&amp;dl=0","Click to download Image")</f>
      </c>
      <c r="C439" s="0" t="inlineStr">
        <is>
          <t>Kristen Youth Hoodie</t>
        </is>
      </c>
      <c r="D439" s="1">
        <v>132535</v>
      </c>
      <c r="E439" s="0" t="inlineStr">
        <is>
          <t>IOWA KRISTE Y ND:132535B-YS</t>
        </is>
      </c>
      <c r="F439" s="2">
        <v>800132535018</v>
      </c>
      <c r="G439" s="0" t="inlineStr">
        <is>
          <t>YOUTH</t>
        </is>
      </c>
      <c r="H439" s="0" t="inlineStr">
        <is>
          <t>YS</t>
        </is>
      </c>
      <c r="I439" s="0">
        <v>49.99</v>
      </c>
      <c r="J439" s="0">
        <v>6</v>
      </c>
    </row>
    <row r="440" spans="1:10" customHeight="0">
      <c r="A440" s="0">
        <f>HYPERLINK("https://dl.dropboxusercontent.com/scl/fi/1vn05tby1yg8k0yi1e3e1/kristen-132535-f.jpg?rlkey=cf8d2cj1w50i9495rguukchkc&amp;dl=0","Click to download Image")</f>
      </c>
      <c r="C440" s="0" t="inlineStr">
        <is>
          <t>Kristen Youth Hoodie</t>
        </is>
      </c>
      <c r="D440" s="1">
        <v>132535</v>
      </c>
      <c r="E440" s="0" t="inlineStr">
        <is>
          <t>IOWA KRISTE Y ND:132535C-YM</t>
        </is>
      </c>
      <c r="F440" s="2">
        <v>800132535025</v>
      </c>
      <c r="G440" s="0" t="inlineStr">
        <is>
          <t>YOUTH</t>
        </is>
      </c>
      <c r="H440" s="0" t="inlineStr">
        <is>
          <t>YM</t>
        </is>
      </c>
      <c r="I440" s="0">
        <v>49.99</v>
      </c>
      <c r="J440" s="0">
        <v>3</v>
      </c>
    </row>
    <row r="441" spans="1:10" customHeight="0">
      <c r="A441" s="0">
        <f>HYPERLINK("https://dl.dropboxusercontent.com/scl/fi/1vn05tby1yg8k0yi1e3e1/kristen-132535-f.jpg?rlkey=cf8d2cj1w50i9495rguukchkc&amp;dl=0","Click to download Image")</f>
      </c>
      <c r="C441" s="0" t="inlineStr">
        <is>
          <t>Kristen Youth Hoodie</t>
        </is>
      </c>
      <c r="D441" s="1">
        <v>132535</v>
      </c>
      <c r="E441" s="0" t="inlineStr">
        <is>
          <t>IOWA KRISTE Y ND:132535D-YL</t>
        </is>
      </c>
      <c r="F441" s="2">
        <v>800132535032</v>
      </c>
      <c r="G441" s="0" t="inlineStr">
        <is>
          <t>YOUTH</t>
        </is>
      </c>
      <c r="H441" s="0" t="inlineStr">
        <is>
          <t>YL</t>
        </is>
      </c>
      <c r="I441" s="0">
        <v>49.99</v>
      </c>
      <c r="J441" s="0">
        <v>2</v>
      </c>
    </row>
    <row r="442" spans="1:10" customHeight="0">
      <c r="A442" s="0">
        <f>HYPERLINK("https://dl.dropboxusercontent.com/scl/fi/1vn05tby1yg8k0yi1e3e1/kristen-132535-f.jpg?rlkey=cf8d2cj1w50i9495rguukchkc&amp;dl=0","Click to download Image")</f>
      </c>
      <c r="C442" s="0" t="inlineStr">
        <is>
          <t>Kristen Youth Hoodie</t>
        </is>
      </c>
      <c r="D442" s="1">
        <v>132535</v>
      </c>
      <c r="E442" s="0" t="inlineStr">
        <is>
          <t>IOWA KRISTE Y ND:132535E-YXL</t>
        </is>
      </c>
      <c r="F442" s="2">
        <v>800132535049</v>
      </c>
      <c r="G442" s="0" t="inlineStr">
        <is>
          <t>YOUTH</t>
        </is>
      </c>
      <c r="H442" s="0" t="inlineStr">
        <is>
          <t>YXL</t>
        </is>
      </c>
      <c r="I442" s="0">
        <v>49.99</v>
      </c>
      <c r="J442" s="0">
        <v>5</v>
      </c>
    </row>
    <row r="443" spans="1:10" customHeight="0">
      <c r="A443" s="0">
        <f>HYPERLINK("https://dl.dropboxusercontent.com/scl/fi/1vn05tby1yg8k0yi1e3e1/kristen-132535-f.jpg?rlkey=cf8d2cj1w50i9495rguukchkc&amp;dl=0","Click to download Image")</f>
      </c>
      <c r="C443" s="0" t="inlineStr">
        <is>
          <t>Kristen Youth Hoodie</t>
        </is>
      </c>
      <c r="D443" s="1">
        <v>132535</v>
      </c>
      <c r="E443" s="0" t="inlineStr">
        <is>
          <t>IOWA KRISTE Y ND 12PK:132535Z-12PK</t>
        </is>
      </c>
      <c r="F443" s="2">
        <v>800132535995</v>
      </c>
      <c r="G443" s="0" t="inlineStr">
        <is>
          <t>YOUTH</t>
        </is>
      </c>
      <c r="H443" s="0" t="inlineStr">
        <is>
          <t>12 PACK</t>
        </is>
      </c>
      <c r="I443" s="0">
        <v>480</v>
      </c>
      <c r="J443" s="0">
        <v>0</v>
      </c>
    </row>
    <row r="444" spans="1:10" customHeight="0">
      <c r="A444" s="0">
        <f>HYPERLINK("https://dl.dropboxusercontent.com/scl/fi/qrcqoajj0pcgtt4c5282s/kristen-128945-f.jpg?rlkey=h4c0350yxiiun4idwm1m27p95&amp;dl=0","Click to download Image")</f>
      </c>
      <c r="C444" s="0" t="inlineStr">
        <is>
          <t>Kristen Toddler Hoodie</t>
        </is>
      </c>
      <c r="D444" s="1">
        <v>128970</v>
      </c>
      <c r="E444" s="0" t="inlineStr">
        <is>
          <t>IOWA KRISTE T BK:128970A-2T</t>
        </is>
      </c>
      <c r="F444" s="2">
        <v>800128970083</v>
      </c>
      <c r="G444" s="0" t="inlineStr">
        <is>
          <t>TODDLER</t>
        </is>
      </c>
      <c r="H444" s="0" t="inlineStr">
        <is>
          <t>2T</t>
        </is>
      </c>
      <c r="I444" s="0">
        <v>49.99</v>
      </c>
      <c r="J444" s="0">
        <v>12</v>
      </c>
    </row>
    <row r="445" spans="1:10" customHeight="0">
      <c r="A445" s="0">
        <f>HYPERLINK("https://dl.dropboxusercontent.com/scl/fi/qrcqoajj0pcgtt4c5282s/kristen-128945-f.jpg?rlkey=h4c0350yxiiun4idwm1m27p95&amp;dl=0","Click to download Image")</f>
      </c>
      <c r="C445" s="0" t="inlineStr">
        <is>
          <t>Kristen Toddler Hoodie</t>
        </is>
      </c>
      <c r="D445" s="1">
        <v>128970</v>
      </c>
      <c r="E445" s="0" t="inlineStr">
        <is>
          <t>IOWA KRISTE T BK:128970B-3T</t>
        </is>
      </c>
      <c r="F445" s="2">
        <v>800128970090</v>
      </c>
      <c r="G445" s="0" t="inlineStr">
        <is>
          <t>TODDLER</t>
        </is>
      </c>
      <c r="H445" s="0" t="inlineStr">
        <is>
          <t>3T</t>
        </is>
      </c>
      <c r="I445" s="0">
        <v>49.99</v>
      </c>
      <c r="J445" s="0">
        <v>12</v>
      </c>
    </row>
    <row r="446" spans="1:10" customHeight="0">
      <c r="A446" s="0">
        <f>HYPERLINK("https://dl.dropboxusercontent.com/scl/fi/qrcqoajj0pcgtt4c5282s/kristen-128945-f.jpg?rlkey=h4c0350yxiiun4idwm1m27p95&amp;dl=0","Click to download Image")</f>
      </c>
      <c r="C446" s="0" t="inlineStr">
        <is>
          <t>Kristen Toddler Hoodie</t>
        </is>
      </c>
      <c r="D446" s="1">
        <v>128970</v>
      </c>
      <c r="E446" s="0" t="inlineStr">
        <is>
          <t>IOWA KRISTE T BK:128970C-4T</t>
        </is>
      </c>
      <c r="F446" s="2">
        <v>800128970106</v>
      </c>
      <c r="G446" s="0" t="inlineStr">
        <is>
          <t>TODDLER</t>
        </is>
      </c>
      <c r="H446" s="0" t="inlineStr">
        <is>
          <t>4T</t>
        </is>
      </c>
      <c r="I446" s="0">
        <v>49.99</v>
      </c>
      <c r="J446" s="0">
        <v>12</v>
      </c>
    </row>
    <row r="447" spans="1:10" customHeight="0">
      <c r="A447" s="0">
        <f>HYPERLINK("https://dl.dropboxusercontent.com/scl/fi/qrcqoajj0pcgtt4c5282s/kristen-128945-f.jpg?rlkey=h4c0350yxiiun4idwm1m27p95&amp;dl=0","Click to download Image")</f>
      </c>
      <c r="C447" s="0" t="inlineStr">
        <is>
          <t>Kristen Toddler Hoodie</t>
        </is>
      </c>
      <c r="D447" s="1">
        <v>128970</v>
      </c>
      <c r="E447" s="0" t="inlineStr">
        <is>
          <t>IOWA KRISTE T BK:128970D-5T</t>
        </is>
      </c>
      <c r="F447" s="2">
        <v>800128970113</v>
      </c>
      <c r="G447" s="0" t="inlineStr">
        <is>
          <t>TODDLER</t>
        </is>
      </c>
      <c r="H447" s="0" t="inlineStr">
        <is>
          <t>5T</t>
        </is>
      </c>
      <c r="I447" s="0">
        <v>49.99</v>
      </c>
      <c r="J447" s="0">
        <v>10</v>
      </c>
    </row>
    <row r="448" spans="1:10" customHeight="0">
      <c r="A448" s="0">
        <f>HYPERLINK("https://dl.dropboxusercontent.com/scl/fi/qrcqoajj0pcgtt4c5282s/kristen-128945-f.jpg?rlkey=h4c0350yxiiun4idwm1m27p95&amp;dl=0","Click to download Image")</f>
      </c>
      <c r="C448" s="0" t="inlineStr">
        <is>
          <t>Kristen Toddler Hoodie</t>
        </is>
      </c>
      <c r="D448" s="1">
        <v>128970</v>
      </c>
      <c r="E448" s="0" t="inlineStr">
        <is>
          <t>IOWA KRISTE T BK 12PK:128970Z-12PK</t>
        </is>
      </c>
      <c r="F448" s="2">
        <v>800128970991</v>
      </c>
      <c r="G448" s="0" t="inlineStr">
        <is>
          <t>TODDLER</t>
        </is>
      </c>
      <c r="H448" s="0" t="inlineStr">
        <is>
          <t>12 PACK</t>
        </is>
      </c>
      <c r="I448" s="0">
        <v>480</v>
      </c>
      <c r="J448" s="0">
        <v>0</v>
      </c>
    </row>
    <row r="449" spans="1:10" customHeight="0">
      <c r="A449" s="0">
        <f>HYPERLINK("https://dl.dropboxusercontent.com/scl/fi/gv80drya8r5kqppje1izg/kristen-132535-f.jpg?rlkey=urw4exf5z3biwj0kyapzooggs&amp;dl=0","Click to download Image")</f>
      </c>
      <c r="C449" s="0" t="inlineStr">
        <is>
          <t>Kristen Toddler Hoodie</t>
        </is>
      </c>
      <c r="D449" s="1">
        <v>132632</v>
      </c>
      <c r="E449" s="0" t="inlineStr">
        <is>
          <t>IOWA KRISTE T ND:132632A-2T</t>
        </is>
      </c>
      <c r="F449" s="2">
        <v>800132632083</v>
      </c>
      <c r="G449" s="0" t="inlineStr">
        <is>
          <t>TODDLER</t>
        </is>
      </c>
      <c r="H449" s="0" t="inlineStr">
        <is>
          <t>2T</t>
        </is>
      </c>
      <c r="I449" s="0">
        <v>49.99</v>
      </c>
      <c r="J449" s="0">
        <v>5</v>
      </c>
    </row>
    <row r="450" spans="1:10" customHeight="0">
      <c r="A450" s="0">
        <f>HYPERLINK("https://dl.dropboxusercontent.com/scl/fi/gv80drya8r5kqppje1izg/kristen-132535-f.jpg?rlkey=urw4exf5z3biwj0kyapzooggs&amp;dl=0","Click to download Image")</f>
      </c>
      <c r="C450" s="0" t="inlineStr">
        <is>
          <t>Kristen Toddler Hoodie</t>
        </is>
      </c>
      <c r="D450" s="1">
        <v>132632</v>
      </c>
      <c r="E450" s="0" t="inlineStr">
        <is>
          <t>IOWA KRISTE T ND:132632B-3T</t>
        </is>
      </c>
      <c r="F450" s="2">
        <v>800132632090</v>
      </c>
      <c r="G450" s="0" t="inlineStr">
        <is>
          <t>TODDLER</t>
        </is>
      </c>
      <c r="H450" s="0" t="inlineStr">
        <is>
          <t>3T</t>
        </is>
      </c>
      <c r="I450" s="0">
        <v>49.99</v>
      </c>
      <c r="J450" s="0">
        <v>5</v>
      </c>
    </row>
    <row r="451" spans="1:10" customHeight="0">
      <c r="A451" s="0">
        <f>HYPERLINK("https://dl.dropboxusercontent.com/scl/fi/gv80drya8r5kqppje1izg/kristen-132535-f.jpg?rlkey=urw4exf5z3biwj0kyapzooggs&amp;dl=0","Click to download Image")</f>
      </c>
      <c r="C451" s="0" t="inlineStr">
        <is>
          <t>Kristen Toddler Hoodie</t>
        </is>
      </c>
      <c r="D451" s="1">
        <v>132632</v>
      </c>
      <c r="E451" s="0" t="inlineStr">
        <is>
          <t>IOWA KRISTE T ND:132632C-4T</t>
        </is>
      </c>
      <c r="F451" s="2">
        <v>800132632106</v>
      </c>
      <c r="G451" s="0" t="inlineStr">
        <is>
          <t>TODDLER</t>
        </is>
      </c>
      <c r="H451" s="0" t="inlineStr">
        <is>
          <t>4T</t>
        </is>
      </c>
      <c r="I451" s="0">
        <v>49.99</v>
      </c>
      <c r="J451" s="0">
        <v>5</v>
      </c>
    </row>
    <row r="452" spans="1:10" customHeight="0">
      <c r="A452" s="0">
        <f>HYPERLINK("https://dl.dropboxusercontent.com/scl/fi/gv80drya8r5kqppje1izg/kristen-132535-f.jpg?rlkey=urw4exf5z3biwj0kyapzooggs&amp;dl=0","Click to download Image")</f>
      </c>
      <c r="C452" s="0" t="inlineStr">
        <is>
          <t>Kristen Toddler Hoodie</t>
        </is>
      </c>
      <c r="D452" s="1">
        <v>132632</v>
      </c>
      <c r="E452" s="0" t="inlineStr">
        <is>
          <t>IOWA KRISTE T ND:132632D-5T</t>
        </is>
      </c>
      <c r="F452" s="2">
        <v>800132632113</v>
      </c>
      <c r="G452" s="0" t="inlineStr">
        <is>
          <t>TODDLER</t>
        </is>
      </c>
      <c r="H452" s="0" t="inlineStr">
        <is>
          <t>5T</t>
        </is>
      </c>
      <c r="I452" s="0">
        <v>49.99</v>
      </c>
      <c r="J452" s="0">
        <v>4</v>
      </c>
    </row>
    <row r="453" spans="1:10" customHeight="0">
      <c r="A453" s="0">
        <f>HYPERLINK("https://dl.dropboxusercontent.com/scl/fi/gv80drya8r5kqppje1izg/kristen-132535-f.jpg?rlkey=urw4exf5z3biwj0kyapzooggs&amp;dl=0","Click to download Image")</f>
      </c>
      <c r="C453" s="0" t="inlineStr">
        <is>
          <t>Kristen Toddler Hoodie</t>
        </is>
      </c>
      <c r="D453" s="1">
        <v>132632</v>
      </c>
      <c r="E453" s="0" t="inlineStr">
        <is>
          <t>IOWA KRISTE T ND 12PK:132632Z-12PK</t>
        </is>
      </c>
      <c r="F453" s="2">
        <v>800132632991</v>
      </c>
      <c r="G453" s="0" t="inlineStr">
        <is>
          <t>TODDLER</t>
        </is>
      </c>
      <c r="H453" s="0" t="inlineStr">
        <is>
          <t>12 PACK</t>
        </is>
      </c>
      <c r="I453" s="0">
        <v>480</v>
      </c>
      <c r="J453" s="0">
        <v>0</v>
      </c>
    </row>
    <row r="454" spans="1:10" customHeight="0">
      <c r="A454" s="0">
        <f>HYPERLINK("https://dl.dropboxusercontent.com/scl/fi/s4uqozgq6p5nyajkbczsb/129693-f.jpg?rlkey=8vvf04nud1h8x05cw0oywatm2&amp;dl=0","Click to download Image")</f>
      </c>
      <c r="C454" s="0" t="inlineStr">
        <is>
          <t>Huck Duffle Bag</t>
        </is>
      </c>
      <c r="D454" s="1">
        <v>129693</v>
      </c>
      <c r="E454" s="0" t="inlineStr">
        <is>
          <t>IOWA HUCK GY:129693</t>
        </is>
      </c>
      <c r="F454" s="2">
        <v>900129693018</v>
      </c>
      <c r="H454" s="0" t="inlineStr">
        <is>
          <t>18 X 10.5 X 11.5</t>
        </is>
      </c>
      <c r="I454" s="0">
        <v>49.99</v>
      </c>
      <c r="J454" s="0">
        <v>46</v>
      </c>
    </row>
    <row r="455" spans="1:10" customHeight="0">
      <c r="A455" s="0">
        <f>HYPERLINK("https://dl.dropboxusercontent.com/scl/fi/isdi32w7xk7id6mlri0cc/f22-02bc-ia.jpg?rlkey=o16q9zps9aplogj0o2thyps7z&amp;dl=0","Click to download Image")</f>
      </c>
      <c r="C455" s="0" t="inlineStr">
        <is>
          <t>Evita Youth Beanie</t>
        </is>
      </c>
      <c r="D455" s="1">
        <v>129914</v>
      </c>
      <c r="E455" s="0" t="inlineStr">
        <is>
          <t>IOWA EVITA Y RE:129914</t>
        </is>
      </c>
      <c r="F455" s="2">
        <v>700129914010</v>
      </c>
      <c r="G455" s="0" t="inlineStr">
        <is>
          <t>YOUTH</t>
        </is>
      </c>
      <c r="H455" s="0" t="inlineStr">
        <is>
          <t>YOUTH</t>
        </is>
      </c>
      <c r="I455" s="0">
        <v>29.99</v>
      </c>
      <c r="J455" s="0">
        <v>48</v>
      </c>
    </row>
    <row r="456" spans="1:10" customHeight="0">
      <c r="A456" s="0">
        <f>HYPERLINK("https://dl.dropboxusercontent.com/scl/fi/x4z7n7n5dkxkb88czr050/dsc9507editbc.jpg?rlkey=j8eljzxi09z2p8g3m4a7hwspl&amp;dl=0","Click to download Image")</f>
      </c>
      <c r="C456" s="0" t="inlineStr">
        <is>
          <t>Camilla Youth Pullover</t>
        </is>
      </c>
      <c r="D456" s="1">
        <v>126197</v>
      </c>
      <c r="E456" s="0" t="inlineStr">
        <is>
          <t>IOWA CAMILL Y BK:126197B-YS</t>
        </is>
      </c>
      <c r="F456" s="2">
        <v>800126197017</v>
      </c>
      <c r="G456" s="0" t="inlineStr">
        <is>
          <t>YOUTH</t>
        </is>
      </c>
      <c r="H456" s="0" t="inlineStr">
        <is>
          <t>YS</t>
        </is>
      </c>
      <c r="I456" s="0">
        <v>34.99</v>
      </c>
      <c r="J456" s="0">
        <v>6</v>
      </c>
    </row>
    <row r="457" spans="1:10" customHeight="0">
      <c r="A457" s="0">
        <f>HYPERLINK("https://dl.dropboxusercontent.com/scl/fi/x4z7n7n5dkxkb88czr050/dsc9507editbc.jpg?rlkey=j8eljzxi09z2p8g3m4a7hwspl&amp;dl=0","Click to download Image")</f>
      </c>
      <c r="C457" s="0" t="inlineStr">
        <is>
          <t>Camilla Youth Pullover</t>
        </is>
      </c>
      <c r="D457" s="1">
        <v>126197</v>
      </c>
      <c r="E457" s="0" t="inlineStr">
        <is>
          <t>IOWA CAMILL Y BK:126197C-YM</t>
        </is>
      </c>
      <c r="F457" s="2">
        <v>800126197024</v>
      </c>
      <c r="G457" s="0" t="inlineStr">
        <is>
          <t>YOUTH</t>
        </is>
      </c>
      <c r="H457" s="0" t="inlineStr">
        <is>
          <t>YM</t>
        </is>
      </c>
      <c r="I457" s="0">
        <v>34.99</v>
      </c>
      <c r="J457" s="0">
        <v>6</v>
      </c>
    </row>
    <row r="458" spans="1:10" customHeight="0">
      <c r="A458" s="0">
        <f>HYPERLINK("https://dl.dropboxusercontent.com/scl/fi/x4z7n7n5dkxkb88czr050/dsc9507editbc.jpg?rlkey=j8eljzxi09z2p8g3m4a7hwspl&amp;dl=0","Click to download Image")</f>
      </c>
      <c r="C458" s="0" t="inlineStr">
        <is>
          <t>Camilla Youth Pullover</t>
        </is>
      </c>
      <c r="D458" s="1">
        <v>126197</v>
      </c>
      <c r="E458" s="0" t="inlineStr">
        <is>
          <t>IOWA CAMILL Y BK:126197D-YL</t>
        </is>
      </c>
      <c r="F458" s="2">
        <v>800126197031</v>
      </c>
      <c r="G458" s="0" t="inlineStr">
        <is>
          <t>YOUTH</t>
        </is>
      </c>
      <c r="H458" s="0" t="inlineStr">
        <is>
          <t>YL</t>
        </is>
      </c>
      <c r="I458" s="0">
        <v>34.99</v>
      </c>
      <c r="J458" s="0">
        <v>6</v>
      </c>
    </row>
    <row r="459" spans="1:10" customHeight="0">
      <c r="A459" s="0">
        <f>HYPERLINK("https://dl.dropboxusercontent.com/scl/fi/x4z7n7n5dkxkb88czr050/dsc9507editbc.jpg?rlkey=j8eljzxi09z2p8g3m4a7hwspl&amp;dl=0","Click to download Image")</f>
      </c>
      <c r="C459" s="0" t="inlineStr">
        <is>
          <t>Camilla Youth Pullover</t>
        </is>
      </c>
      <c r="D459" s="1">
        <v>126197</v>
      </c>
      <c r="E459" s="0" t="inlineStr">
        <is>
          <t>IOWA CAMILL Y BK:126197E-YXL</t>
        </is>
      </c>
      <c r="F459" s="2">
        <v>800126197048</v>
      </c>
      <c r="G459" s="0" t="inlineStr">
        <is>
          <t>YOUTH</t>
        </is>
      </c>
      <c r="H459" s="0" t="inlineStr">
        <is>
          <t>YXL</t>
        </is>
      </c>
      <c r="I459" s="0">
        <v>34.99</v>
      </c>
      <c r="J459" s="0">
        <v>7</v>
      </c>
    </row>
    <row r="460" spans="1:10" customHeight="0">
      <c r="A460" s="0">
        <f>HYPERLINK("https://dl.dropboxusercontent.com/scl/fi/x4z7n7n5dkxkb88czr050/dsc9507editbc.jpg?rlkey=j8eljzxi09z2p8g3m4a7hwspl&amp;dl=0","Click to download Image")</f>
      </c>
      <c r="C460" s="0" t="inlineStr">
        <is>
          <t>Camilla Youth Pullover</t>
        </is>
      </c>
      <c r="D460" s="1">
        <v>126197</v>
      </c>
      <c r="E460" s="0" t="inlineStr">
        <is>
          <t>IOWA CAMILL Y BK 12PK:126197Z-12PK</t>
        </is>
      </c>
      <c r="F460" s="2">
        <v>800126197994</v>
      </c>
      <c r="G460" s="0" t="inlineStr">
        <is>
          <t>YOUTH</t>
        </is>
      </c>
      <c r="H460" s="0" t="inlineStr">
        <is>
          <t>12 PACK</t>
        </is>
      </c>
      <c r="I460" s="0">
        <v>336</v>
      </c>
      <c r="J460" s="0">
        <v>0</v>
      </c>
    </row>
    <row r="461" spans="1:10" customHeight="0">
      <c r="A461" s="0">
        <f>HYPERLINK("https://dl.dropboxusercontent.com/scl/fi/da44won6d5kuvqz0rn7ud/dsc9507editbc.jpg?rlkey=1ox67dtc407xxpimudchvmtvv&amp;dl=0","Click to download Image")</f>
      </c>
      <c r="C461" s="0" t="inlineStr">
        <is>
          <t>Camilla Toddler Pullover</t>
        </is>
      </c>
      <c r="D461" s="1">
        <v>131390</v>
      </c>
      <c r="E461" s="0" t="inlineStr">
        <is>
          <t>IOWA CAMILL T BK:131390A-2T</t>
        </is>
      </c>
      <c r="F461" s="2">
        <v>800131390007</v>
      </c>
      <c r="G461" s="0" t="inlineStr">
        <is>
          <t>TODDLER</t>
        </is>
      </c>
      <c r="H461" s="0" t="inlineStr">
        <is>
          <t>2T</t>
        </is>
      </c>
      <c r="I461" s="0">
        <v>34.99</v>
      </c>
      <c r="J461" s="0">
        <v>4</v>
      </c>
    </row>
    <row r="462" spans="1:10" customHeight="0">
      <c r="A462" s="0">
        <f>HYPERLINK("https://dl.dropboxusercontent.com/scl/fi/da44won6d5kuvqz0rn7ud/dsc9507editbc.jpg?rlkey=1ox67dtc407xxpimudchvmtvv&amp;dl=0","Click to download Image")</f>
      </c>
      <c r="C462" s="0" t="inlineStr">
        <is>
          <t>Camilla Toddler Pullover</t>
        </is>
      </c>
      <c r="D462" s="1">
        <v>131390</v>
      </c>
      <c r="E462" s="0" t="inlineStr">
        <is>
          <t>IOWA CAMILL T BK:131390B-3T</t>
        </is>
      </c>
      <c r="F462" s="2">
        <v>800131390090</v>
      </c>
      <c r="G462" s="0" t="inlineStr">
        <is>
          <t>TODDLER</t>
        </is>
      </c>
      <c r="H462" s="0" t="inlineStr">
        <is>
          <t>3T</t>
        </is>
      </c>
      <c r="I462" s="0">
        <v>34.99</v>
      </c>
      <c r="J462" s="0">
        <v>4</v>
      </c>
    </row>
    <row r="463" spans="1:10" customHeight="0">
      <c r="A463" s="0">
        <f>HYPERLINK("https://dl.dropboxusercontent.com/scl/fi/da44won6d5kuvqz0rn7ud/dsc9507editbc.jpg?rlkey=1ox67dtc407xxpimudchvmtvv&amp;dl=0","Click to download Image")</f>
      </c>
      <c r="C463" s="0" t="inlineStr">
        <is>
          <t>Camilla Toddler Pullover</t>
        </is>
      </c>
      <c r="D463" s="1">
        <v>131390</v>
      </c>
      <c r="E463" s="0" t="inlineStr">
        <is>
          <t>IOWA CAMILL T BK:131390C-4T</t>
        </is>
      </c>
      <c r="F463" s="2">
        <v>800131390106</v>
      </c>
      <c r="G463" s="0" t="inlineStr">
        <is>
          <t>TODDLER</t>
        </is>
      </c>
      <c r="H463" s="0" t="inlineStr">
        <is>
          <t>4T</t>
        </is>
      </c>
      <c r="I463" s="0">
        <v>34.99</v>
      </c>
      <c r="J463" s="0">
        <v>4</v>
      </c>
    </row>
    <row r="464" spans="1:10" customHeight="0">
      <c r="A464" s="0">
        <f>HYPERLINK("https://dl.dropboxusercontent.com/scl/fi/da44won6d5kuvqz0rn7ud/dsc9507editbc.jpg?rlkey=1ox67dtc407xxpimudchvmtvv&amp;dl=0","Click to download Image")</f>
      </c>
      <c r="C464" s="0" t="inlineStr">
        <is>
          <t>Camilla Toddler Pullover</t>
        </is>
      </c>
      <c r="D464" s="1">
        <v>131390</v>
      </c>
      <c r="E464" s="0" t="inlineStr">
        <is>
          <t>IOWA CAMILL T BK:131390D-5T</t>
        </is>
      </c>
      <c r="F464" s="2">
        <v>800131390113</v>
      </c>
      <c r="G464" s="0" t="inlineStr">
        <is>
          <t>TODDLER</t>
        </is>
      </c>
      <c r="H464" s="0" t="inlineStr">
        <is>
          <t>5T</t>
        </is>
      </c>
      <c r="I464" s="0">
        <v>34.99</v>
      </c>
      <c r="J464" s="0">
        <v>2</v>
      </c>
    </row>
    <row r="465" spans="1:10" customHeight="0">
      <c r="A465" s="0">
        <f>HYPERLINK("https://dl.dropboxusercontent.com/scl/fi/da44won6d5kuvqz0rn7ud/dsc9507editbc.jpg?rlkey=1ox67dtc407xxpimudchvmtvv&amp;dl=0","Click to download Image")</f>
      </c>
      <c r="C465" s="0" t="inlineStr">
        <is>
          <t>Camilla Toddler Pullover</t>
        </is>
      </c>
      <c r="D465" s="1">
        <v>131390</v>
      </c>
      <c r="E465" s="0" t="inlineStr">
        <is>
          <t>IOWA CAMILL T BK 12PK:131390Z-12PK</t>
        </is>
      </c>
      <c r="F465" s="2">
        <v>800131390991</v>
      </c>
      <c r="G465" s="0" t="inlineStr">
        <is>
          <t>TODDLER</t>
        </is>
      </c>
      <c r="H465" s="0" t="inlineStr">
        <is>
          <t>12 PACK</t>
        </is>
      </c>
      <c r="I465" s="0">
        <v>336</v>
      </c>
      <c r="J465" s="0">
        <v>0</v>
      </c>
    </row>
    <row r="466" spans="1:10" customHeight="0">
      <c r="A466" s="0">
        <f>HYPERLINK("https://dl.dropboxusercontent.com/scl/fi/d4twmy3e7do1tfd302wxy/dsc9507editbc-joggers.jpg?rlkey=2lmlmmh5ohyzx46kpwcuxworl&amp;dl=0","Click to download Image")</f>
      </c>
      <c r="C466" s="0" t="inlineStr">
        <is>
          <t>Clarke Toddler Joggers</t>
        </is>
      </c>
      <c r="D466" s="1">
        <v>131379</v>
      </c>
      <c r="E466" s="0" t="inlineStr">
        <is>
          <t>IOWA CLARKE T BK:131379A-2T</t>
        </is>
      </c>
      <c r="F466" s="2">
        <v>800131379088</v>
      </c>
      <c r="G466" s="0" t="inlineStr">
        <is>
          <t>TODDLER</t>
        </is>
      </c>
      <c r="H466" s="0" t="inlineStr">
        <is>
          <t>2T</t>
        </is>
      </c>
      <c r="I466" s="0">
        <v>34.99</v>
      </c>
      <c r="J466" s="0">
        <v>1</v>
      </c>
    </row>
    <row r="467" spans="1:10" customHeight="0">
      <c r="A467" s="0">
        <f>HYPERLINK("https://dl.dropboxusercontent.com/scl/fi/d4twmy3e7do1tfd302wxy/dsc9507editbc-joggers.jpg?rlkey=2lmlmmh5ohyzx46kpwcuxworl&amp;dl=0","Click to download Image")</f>
      </c>
      <c r="C467" s="0" t="inlineStr">
        <is>
          <t>Clarke Toddler Joggers</t>
        </is>
      </c>
      <c r="D467" s="1">
        <v>131379</v>
      </c>
      <c r="E467" s="0" t="inlineStr">
        <is>
          <t>IOWA CLARKE T BK:131379B-3T</t>
        </is>
      </c>
      <c r="F467" s="2">
        <v>800131379095</v>
      </c>
      <c r="G467" s="0" t="inlineStr">
        <is>
          <t>TODDLER</t>
        </is>
      </c>
      <c r="H467" s="0" t="inlineStr">
        <is>
          <t>3T</t>
        </is>
      </c>
      <c r="I467" s="0">
        <v>34.99</v>
      </c>
      <c r="J467" s="0">
        <v>0</v>
      </c>
    </row>
    <row r="468" spans="1:10" customHeight="0">
      <c r="A468" s="0">
        <f>HYPERLINK("https://dl.dropboxusercontent.com/scl/fi/d4twmy3e7do1tfd302wxy/dsc9507editbc-joggers.jpg?rlkey=2lmlmmh5ohyzx46kpwcuxworl&amp;dl=0","Click to download Image")</f>
      </c>
      <c r="C468" s="0" t="inlineStr">
        <is>
          <t>Clarke Toddler Joggers</t>
        </is>
      </c>
      <c r="D468" s="1">
        <v>131379</v>
      </c>
      <c r="E468" s="0" t="inlineStr">
        <is>
          <t>IOWA CLARKE T BK:131379C-4T</t>
        </is>
      </c>
      <c r="F468" s="2">
        <v>800131379101</v>
      </c>
      <c r="G468" s="0" t="inlineStr">
        <is>
          <t>TODDLER</t>
        </is>
      </c>
      <c r="H468" s="0" t="inlineStr">
        <is>
          <t>4T</t>
        </is>
      </c>
      <c r="I468" s="0">
        <v>34.99</v>
      </c>
      <c r="J468" s="0">
        <v>1</v>
      </c>
    </row>
    <row r="469" spans="1:10" customHeight="0">
      <c r="A469" s="0">
        <f>HYPERLINK("https://dl.dropboxusercontent.com/scl/fi/d4twmy3e7do1tfd302wxy/dsc9507editbc-joggers.jpg?rlkey=2lmlmmh5ohyzx46kpwcuxworl&amp;dl=0","Click to download Image")</f>
      </c>
      <c r="C469" s="0" t="inlineStr">
        <is>
          <t>Clarke Toddler Joggers</t>
        </is>
      </c>
      <c r="D469" s="1">
        <v>131379</v>
      </c>
      <c r="E469" s="0" t="inlineStr">
        <is>
          <t>IOWA CLARKE T BK:131379D-5T</t>
        </is>
      </c>
      <c r="F469" s="2">
        <v>800131379118</v>
      </c>
      <c r="G469" s="0" t="inlineStr">
        <is>
          <t>TODDLER</t>
        </is>
      </c>
      <c r="H469" s="0" t="inlineStr">
        <is>
          <t>5T</t>
        </is>
      </c>
      <c r="I469" s="0">
        <v>34.99</v>
      </c>
      <c r="J469" s="0">
        <v>0</v>
      </c>
    </row>
    <row r="470" spans="1:10" customHeight="0">
      <c r="A470" s="0">
        <f>HYPERLINK("https://dl.dropboxusercontent.com/scl/fi/d4twmy3e7do1tfd302wxy/dsc9507editbc-joggers.jpg?rlkey=2lmlmmh5ohyzx46kpwcuxworl&amp;dl=0","Click to download Image")</f>
      </c>
      <c r="C470" s="0" t="inlineStr">
        <is>
          <t>Clarke Toddler Joggers</t>
        </is>
      </c>
      <c r="D470" s="1">
        <v>131379</v>
      </c>
      <c r="E470" s="0" t="inlineStr">
        <is>
          <t>IOWA CLARKE T BK 12PK:131379Z-12PK</t>
        </is>
      </c>
      <c r="F470" s="2">
        <v>800131379996</v>
      </c>
      <c r="G470" s="0" t="inlineStr">
        <is>
          <t>TODDLER</t>
        </is>
      </c>
      <c r="H470" s="0" t="inlineStr">
        <is>
          <t>12 PACK</t>
        </is>
      </c>
      <c r="I470" s="0">
        <v>336</v>
      </c>
      <c r="J470" s="0">
        <v>0</v>
      </c>
    </row>
    <row r="471" spans="1:10" customHeight="0">
      <c r="A471" s="0">
        <f>HYPERLINK("https://dl.dropboxusercontent.com/scl/fi/ypwxk1mqmphm4o23buww9/emmett-129962-af.jpg?rlkey=ghhjeuaxsw0bi66jy6pntepwm&amp;dl=0","Click to download Image")</f>
      </c>
      <c r="C471" s="0" t="inlineStr">
        <is>
          <t>Emmett Men's Cap</t>
        </is>
      </c>
      <c r="D471" s="1">
        <v>129962</v>
      </c>
      <c r="E471" s="0" t="inlineStr">
        <is>
          <t>IOWA EMMETT A BK:129962</t>
        </is>
      </c>
      <c r="F471" s="2">
        <v>700129962004</v>
      </c>
      <c r="G471" s="0" t="inlineStr">
        <is>
          <t>MENS</t>
        </is>
      </c>
      <c r="H471" s="0" t="inlineStr">
        <is>
          <t>STANDARD:58CM</t>
        </is>
      </c>
      <c r="I471" s="0">
        <v>24.99</v>
      </c>
      <c r="J471" s="0">
        <v>5</v>
      </c>
    </row>
    <row r="472" spans="1:10" customHeight="0">
      <c r="A472" s="0">
        <f>HYPERLINK("https://dl.dropboxusercontent.com/scl/fi/kbul9sbtaft7s457q6f81/129889-af.jpg?rlkey=ccdjor1yi2y34nmq3slk2kqyx&amp;dl=0","Click to download Image")</f>
      </c>
      <c r="C472" s="0" t="inlineStr">
        <is>
          <t>Greyson Youth Cap</t>
        </is>
      </c>
      <c r="D472" s="1">
        <v>129889</v>
      </c>
      <c r="E472" s="0" t="inlineStr">
        <is>
          <t>IOWA GREYSO Y GY:129889</t>
        </is>
      </c>
      <c r="F472" s="2">
        <v>700129889035</v>
      </c>
      <c r="G472" s="0" t="inlineStr">
        <is>
          <t>YOUTH</t>
        </is>
      </c>
      <c r="H472" s="0" t="inlineStr">
        <is>
          <t>STANDARD:55CM</t>
        </is>
      </c>
      <c r="I472" s="0">
        <v>24.99</v>
      </c>
      <c r="J472" s="0">
        <v>35</v>
      </c>
    </row>
    <row r="473" spans="1:10" customHeight="0">
      <c r="A473" s="0">
        <f>HYPERLINK("https://dl.dropboxusercontent.com/scl/fi/g0908vom97g5vjybacqkf/129889-af.jpg?rlkey=mh6x0uk38042wjl7d6pczxfsz&amp;dl=0","Click to download Image")</f>
      </c>
      <c r="C473" s="0" t="inlineStr">
        <is>
          <t>Greyson Toddler Cap</t>
        </is>
      </c>
      <c r="D473" s="1">
        <v>131293</v>
      </c>
      <c r="E473" s="0" t="inlineStr">
        <is>
          <t>IOWA GREYSO T GY:131293</t>
        </is>
      </c>
      <c r="F473" s="2">
        <v>700131293042</v>
      </c>
      <c r="G473" s="0" t="inlineStr">
        <is>
          <t>TODDLER</t>
        </is>
      </c>
      <c r="H473" s="0" t="inlineStr">
        <is>
          <t>STANDARD:53CM</t>
        </is>
      </c>
      <c r="I473" s="0">
        <v>24.99</v>
      </c>
      <c r="J473" s="0">
        <v>10</v>
      </c>
    </row>
    <row r="474" spans="1:10" customHeight="0">
      <c r="A474" s="0">
        <f>HYPERLINK("https://dl.dropboxusercontent.com/scl/fi/qg2mbumfo6dq00d3cyhwr/hali-150992-tn.jpg?rlkey=3gz47p16dxtx0yajvigi2qxyr&amp;dl=0","Click to download Image")</f>
      </c>
      <c r="C474" s="0" t="inlineStr">
        <is>
          <t>Hali Infant Bodysuit</t>
        </is>
      </c>
      <c r="D474" s="1">
        <v>150992</v>
      </c>
      <c r="E474" s="0" t="inlineStr">
        <is>
          <t>IOWA HALI I BK:150992A-0-3M</t>
        </is>
      </c>
      <c r="F474" s="2">
        <v>800150992008</v>
      </c>
      <c r="G474" s="0" t="inlineStr">
        <is>
          <t>INFANT</t>
        </is>
      </c>
      <c r="H474" s="0" t="inlineStr">
        <is>
          <t>0-3M</t>
        </is>
      </c>
      <c r="I474" s="0">
        <v>24.99</v>
      </c>
      <c r="J474" s="0">
        <v>2</v>
      </c>
    </row>
    <row r="475" spans="1:10" customHeight="0">
      <c r="A475" s="0">
        <f>HYPERLINK("https://dl.dropboxusercontent.com/scl/fi/qg2mbumfo6dq00d3cyhwr/hali-150992-tn.jpg?rlkey=3gz47p16dxtx0yajvigi2qxyr&amp;dl=0","Click to download Image")</f>
      </c>
      <c r="C475" s="0" t="inlineStr">
        <is>
          <t>Hali Infant Bodysuit</t>
        </is>
      </c>
      <c r="D475" s="1">
        <v>150992</v>
      </c>
      <c r="E475" s="0" t="inlineStr">
        <is>
          <t>IOWA HALI I BK:150992B-3-6M</t>
        </is>
      </c>
      <c r="F475" s="2">
        <v>800150992015</v>
      </c>
      <c r="G475" s="0" t="inlineStr">
        <is>
          <t>INFANT</t>
        </is>
      </c>
      <c r="H475" s="0" t="inlineStr">
        <is>
          <t>3-6M</t>
        </is>
      </c>
      <c r="I475" s="0">
        <v>24.99</v>
      </c>
      <c r="J475" s="0">
        <v>0</v>
      </c>
    </row>
    <row r="476" spans="1:10" customHeight="0">
      <c r="A476" s="0">
        <f>HYPERLINK("https://dl.dropboxusercontent.com/scl/fi/qg2mbumfo6dq00d3cyhwr/hali-150992-tn.jpg?rlkey=3gz47p16dxtx0yajvigi2qxyr&amp;dl=0","Click to download Image")</f>
      </c>
      <c r="C476" s="0" t="inlineStr">
        <is>
          <t>Hali Infant Bodysuit</t>
        </is>
      </c>
      <c r="D476" s="1">
        <v>150992</v>
      </c>
      <c r="E476" s="0" t="inlineStr">
        <is>
          <t>IOWA HALI I BK:150992C-6-9M</t>
        </is>
      </c>
      <c r="F476" s="2">
        <v>800150992022</v>
      </c>
      <c r="G476" s="0" t="inlineStr">
        <is>
          <t>INFANT</t>
        </is>
      </c>
      <c r="H476" s="0" t="inlineStr">
        <is>
          <t>6-9M</t>
        </is>
      </c>
      <c r="I476" s="0">
        <v>24.99</v>
      </c>
      <c r="J476" s="0">
        <v>2</v>
      </c>
    </row>
    <row r="477" spans="1:10" customHeight="0">
      <c r="A477" s="0">
        <f>HYPERLINK("https://dl.dropboxusercontent.com/scl/fi/qg2mbumfo6dq00d3cyhwr/hali-150992-tn.jpg?rlkey=3gz47p16dxtx0yajvigi2qxyr&amp;dl=0","Click to download Image")</f>
      </c>
      <c r="C477" s="0" t="inlineStr">
        <is>
          <t>Hali Infant Bodysuit</t>
        </is>
      </c>
      <c r="D477" s="1">
        <v>150992</v>
      </c>
      <c r="E477" s="0" t="inlineStr">
        <is>
          <t>IOWA HALI I BK:150992F-12M</t>
        </is>
      </c>
      <c r="F477" s="2">
        <v>800150992039</v>
      </c>
      <c r="G477" s="0" t="inlineStr">
        <is>
          <t>INFANT</t>
        </is>
      </c>
      <c r="H477" s="0" t="inlineStr">
        <is>
          <t>12M</t>
        </is>
      </c>
      <c r="I477" s="0">
        <v>24.99</v>
      </c>
      <c r="J477" s="0">
        <v>9</v>
      </c>
    </row>
    <row r="478" spans="1:10" customHeight="0">
      <c r="A478" s="0">
        <f>HYPERLINK("https://dl.dropboxusercontent.com/scl/fi/qg2mbumfo6dq00d3cyhwr/hali-150992-tn.jpg?rlkey=3gz47p16dxtx0yajvigi2qxyr&amp;dl=0","Click to download Image")</f>
      </c>
      <c r="C478" s="0" t="inlineStr">
        <is>
          <t>Hali Infant Bodysuit</t>
        </is>
      </c>
      <c r="D478" s="1">
        <v>150992</v>
      </c>
      <c r="E478" s="0" t="inlineStr">
        <is>
          <t>IOWA HALI I BK:150992Z-12PK</t>
        </is>
      </c>
      <c r="F478" s="2">
        <v>800150992978</v>
      </c>
      <c r="G478" s="0" t="inlineStr">
        <is>
          <t>INFANT</t>
        </is>
      </c>
      <c r="H478" s="0" t="inlineStr">
        <is>
          <t>12 PACK</t>
        </is>
      </c>
      <c r="I478" s="0">
        <v>240</v>
      </c>
      <c r="J478" s="0">
        <v>0</v>
      </c>
    </row>
    <row r="479" spans="1:10" customHeight="0">
      <c r="A479" s="0">
        <f>HYPERLINK("https://dl.dropboxusercontent.com/scl/fi/6fa1now1i0kyumvcdr90q/ia-slate-f-copy.jpg?rlkey=13xcj5rf0zafihkhwg9xlkd96&amp;dl=0","Click to download Image")</f>
      </c>
      <c r="C479" s="0" t="inlineStr">
        <is>
          <t>Slate Women's Long Sleeve Shirt</t>
        </is>
      </c>
      <c r="D479" s="1">
        <v>151107</v>
      </c>
      <c r="E479" s="0" t="inlineStr">
        <is>
          <t>IOWA SLATE W BK:151107A-S</t>
        </is>
      </c>
      <c r="F479" s="2">
        <v>800151107043</v>
      </c>
      <c r="G479" s="0" t="inlineStr">
        <is>
          <t>WOMENS</t>
        </is>
      </c>
      <c r="H479" s="0" t="inlineStr">
        <is>
          <t>S</t>
        </is>
      </c>
      <c r="I479" s="0">
        <v>32.99</v>
      </c>
      <c r="J479" s="0">
        <v>0</v>
      </c>
    </row>
    <row r="480" spans="1:10" customHeight="0">
      <c r="A480" s="0">
        <f>HYPERLINK("https://dl.dropboxusercontent.com/scl/fi/6fa1now1i0kyumvcdr90q/ia-slate-f-copy.jpg?rlkey=13xcj5rf0zafihkhwg9xlkd96&amp;dl=0","Click to download Image")</f>
      </c>
      <c r="C480" s="0" t="inlineStr">
        <is>
          <t>Slate Women's Long Sleeve Shirt</t>
        </is>
      </c>
      <c r="D480" s="1">
        <v>151107</v>
      </c>
      <c r="E480" s="0" t="inlineStr">
        <is>
          <t>IOWA SLATE W BK:151107B-M</t>
        </is>
      </c>
      <c r="F480" s="2">
        <v>800151107050</v>
      </c>
      <c r="G480" s="0" t="inlineStr">
        <is>
          <t>WOMENS</t>
        </is>
      </c>
      <c r="H480" s="0" t="inlineStr">
        <is>
          <t>M</t>
        </is>
      </c>
      <c r="I480" s="0">
        <v>32.99</v>
      </c>
      <c r="J480" s="0">
        <v>23</v>
      </c>
    </row>
    <row r="481" spans="1:10" customHeight="0">
      <c r="A481" s="0">
        <f>HYPERLINK("https://dl.dropboxusercontent.com/scl/fi/6fa1now1i0kyumvcdr90q/ia-slate-f-copy.jpg?rlkey=13xcj5rf0zafihkhwg9xlkd96&amp;dl=0","Click to download Image")</f>
      </c>
      <c r="C481" s="0" t="inlineStr">
        <is>
          <t>Slate Women's Long Sleeve Shirt</t>
        </is>
      </c>
      <c r="D481" s="1">
        <v>151107</v>
      </c>
      <c r="E481" s="0" t="inlineStr">
        <is>
          <t>IOWA SLATE W BK:151107C-L</t>
        </is>
      </c>
      <c r="F481" s="2">
        <v>800151107067</v>
      </c>
      <c r="G481" s="0" t="inlineStr">
        <is>
          <t>WOMENS</t>
        </is>
      </c>
      <c r="H481" s="0" t="inlineStr">
        <is>
          <t>L</t>
        </is>
      </c>
      <c r="I481" s="0">
        <v>32.99</v>
      </c>
      <c r="J481" s="0">
        <v>31</v>
      </c>
    </row>
    <row r="482" spans="1:10" customHeight="0">
      <c r="A482" s="0">
        <f>HYPERLINK("https://dl.dropboxusercontent.com/scl/fi/6fa1now1i0kyumvcdr90q/ia-slate-f-copy.jpg?rlkey=13xcj5rf0zafihkhwg9xlkd96&amp;dl=0","Click to download Image")</f>
      </c>
      <c r="C482" s="0" t="inlineStr">
        <is>
          <t>Slate Women's Long Sleeve Shirt</t>
        </is>
      </c>
      <c r="D482" s="1">
        <v>151107</v>
      </c>
      <c r="E482" s="0" t="inlineStr">
        <is>
          <t>IOWA SLATE W BK:151107D-XL</t>
        </is>
      </c>
      <c r="F482" s="2">
        <v>800151107074</v>
      </c>
      <c r="G482" s="0" t="inlineStr">
        <is>
          <t>WOMENS</t>
        </is>
      </c>
      <c r="H482" s="0" t="inlineStr">
        <is>
          <t>XL</t>
        </is>
      </c>
      <c r="I482" s="0">
        <v>32.99</v>
      </c>
      <c r="J482" s="0">
        <v>20</v>
      </c>
    </row>
    <row r="483" spans="1:10" customHeight="0">
      <c r="A483" s="0">
        <f>HYPERLINK("https://dl.dropboxusercontent.com/scl/fi/6fa1now1i0kyumvcdr90q/ia-slate-f-copy.jpg?rlkey=13xcj5rf0zafihkhwg9xlkd96&amp;dl=0","Click to download Image")</f>
      </c>
      <c r="C483" s="0" t="inlineStr">
        <is>
          <t>Slate Women's Long Sleeve Shirt</t>
        </is>
      </c>
      <c r="D483" s="1">
        <v>151107</v>
      </c>
      <c r="E483" s="0" t="inlineStr">
        <is>
          <t>IOWA SLATE W BK:151107E-2XL</t>
        </is>
      </c>
      <c r="F483" s="2">
        <v>800151107081</v>
      </c>
      <c r="G483" s="0" t="inlineStr">
        <is>
          <t>WOMENS</t>
        </is>
      </c>
      <c r="H483" s="0" t="inlineStr">
        <is>
          <t>2XL</t>
        </is>
      </c>
      <c r="I483" s="0">
        <v>34.99</v>
      </c>
      <c r="J483" s="0">
        <v>9</v>
      </c>
    </row>
    <row r="484" spans="1:10" customHeight="0">
      <c r="A484" s="0">
        <f>HYPERLINK("https://dl.dropboxusercontent.com/scl/fi/6fa1now1i0kyumvcdr90q/ia-slate-f-copy.jpg?rlkey=13xcj5rf0zafihkhwg9xlkd96&amp;dl=0","Click to download Image")</f>
      </c>
      <c r="C484" s="0" t="inlineStr">
        <is>
          <t>Slate Women's Long Sleeve Shirt</t>
        </is>
      </c>
      <c r="D484" s="1">
        <v>151107</v>
      </c>
      <c r="E484" s="0" t="inlineStr">
        <is>
          <t>IOWA SLATE W BK:151107F-3XL</t>
        </is>
      </c>
      <c r="F484" s="2">
        <v>800151107098</v>
      </c>
      <c r="G484" s="0" t="inlineStr">
        <is>
          <t>WOMENS</t>
        </is>
      </c>
      <c r="H484" s="0" t="inlineStr">
        <is>
          <t>3XL</t>
        </is>
      </c>
      <c r="I484" s="0">
        <v>34.99</v>
      </c>
      <c r="J484" s="0">
        <v>2</v>
      </c>
    </row>
    <row r="485" spans="1:10" customHeight="0">
      <c r="A485" s="0">
        <f>HYPERLINK("https://dl.dropboxusercontent.com/scl/fi/6fa1now1i0kyumvcdr90q/ia-slate-f-copy.jpg?rlkey=13xcj5rf0zafihkhwg9xlkd96&amp;dl=0","Click to download Image")</f>
      </c>
      <c r="C485" s="0" t="inlineStr">
        <is>
          <t>Slate Women's Long Sleeve Shirt</t>
        </is>
      </c>
      <c r="D485" s="1">
        <v>151107</v>
      </c>
      <c r="E485" s="0" t="inlineStr">
        <is>
          <t>IOWA SLATE W BK:151107Z-12PK</t>
        </is>
      </c>
      <c r="F485" s="2">
        <v>800151107999</v>
      </c>
      <c r="G485" s="0" t="inlineStr">
        <is>
          <t>WOMENS</t>
        </is>
      </c>
      <c r="H485" s="0" t="inlineStr">
        <is>
          <t>12 PACK</t>
        </is>
      </c>
      <c r="I485" s="0">
        <v>316.8</v>
      </c>
      <c r="J485" s="0">
        <v>0</v>
      </c>
    </row>
    <row r="486" spans="1:10" customHeight="0">
      <c r="A486" s="0">
        <f>HYPERLINK("https://dl.dropboxusercontent.com/scl/fi/mmkoxfi40azvdaqomc4d7/sutton-151742-tn.jpg?rlkey=4ke2bchxbsiy3p47sbruj5kug&amp;dl=0","Click to download Image")</f>
      </c>
      <c r="B486" s="0">
        <f>HYPERLINK("https://dl.dropboxusercontent.com/scl/fi/brom2jbwdqoykfvs4oahh/womens-hoodie-and-sweatshirt-size-chartssutton.jpg?rlkey=7i9o7pr8wjk6kud8ags41g08n&amp;dl=0","Click to download SizeChart")</f>
      </c>
      <c r="C486" s="0" t="inlineStr">
        <is>
          <t>Sutton Women's Sweatshirt</t>
        </is>
      </c>
      <c r="D486" s="1">
        <v>151742</v>
      </c>
      <c r="E486" s="0" t="inlineStr">
        <is>
          <t>IOWA SUTTON W BK:151742A-S</t>
        </is>
      </c>
      <c r="F486" s="2">
        <v>800151742046</v>
      </c>
      <c r="G486" s="0" t="inlineStr">
        <is>
          <t>WOMENS</t>
        </is>
      </c>
      <c r="H486" s="0" t="inlineStr">
        <is>
          <t>S</t>
        </is>
      </c>
      <c r="I486" s="0">
        <v>54.99</v>
      </c>
      <c r="J486" s="0">
        <v>0</v>
      </c>
    </row>
    <row r="487" spans="1:10" customHeight="0">
      <c r="A487" s="0">
        <f>HYPERLINK("https://dl.dropboxusercontent.com/scl/fi/mmkoxfi40azvdaqomc4d7/sutton-151742-tn.jpg?rlkey=4ke2bchxbsiy3p47sbruj5kug&amp;dl=0","Click to download Image")</f>
      </c>
      <c r="B487" s="0">
        <f>HYPERLINK("https://dl.dropboxusercontent.com/scl/fi/brom2jbwdqoykfvs4oahh/womens-hoodie-and-sweatshirt-size-chartssutton.jpg?rlkey=7i9o7pr8wjk6kud8ags41g08n&amp;dl=0","Click to download SizeChart")</f>
      </c>
      <c r="C487" s="0" t="inlineStr">
        <is>
          <t>Sutton Women's Sweatshirt</t>
        </is>
      </c>
      <c r="D487" s="1">
        <v>151742</v>
      </c>
      <c r="E487" s="0" t="inlineStr">
        <is>
          <t>IOWA SUTTON W BK:151742B-M</t>
        </is>
      </c>
      <c r="F487" s="2">
        <v>800151742053</v>
      </c>
      <c r="G487" s="0" t="inlineStr">
        <is>
          <t>WOMENS</t>
        </is>
      </c>
      <c r="H487" s="0" t="inlineStr">
        <is>
          <t>M</t>
        </is>
      </c>
      <c r="I487" s="0">
        <v>54.99</v>
      </c>
      <c r="J487" s="0">
        <v>13</v>
      </c>
    </row>
    <row r="488" spans="1:10" customHeight="0">
      <c r="A488" s="0">
        <f>HYPERLINK("https://dl.dropboxusercontent.com/scl/fi/mmkoxfi40azvdaqomc4d7/sutton-151742-tn.jpg?rlkey=4ke2bchxbsiy3p47sbruj5kug&amp;dl=0","Click to download Image")</f>
      </c>
      <c r="B488" s="0">
        <f>HYPERLINK("https://dl.dropboxusercontent.com/scl/fi/brom2jbwdqoykfvs4oahh/womens-hoodie-and-sweatshirt-size-chartssutton.jpg?rlkey=7i9o7pr8wjk6kud8ags41g08n&amp;dl=0","Click to download SizeChart")</f>
      </c>
      <c r="C488" s="0" t="inlineStr">
        <is>
          <t>Sutton Women's Sweatshirt</t>
        </is>
      </c>
      <c r="D488" s="1">
        <v>151742</v>
      </c>
      <c r="E488" s="0" t="inlineStr">
        <is>
          <t>IOWA SUTTON W BK:151742C-L</t>
        </is>
      </c>
      <c r="F488" s="2">
        <v>800151742060</v>
      </c>
      <c r="G488" s="0" t="inlineStr">
        <is>
          <t>WOMENS</t>
        </is>
      </c>
      <c r="H488" s="0" t="inlineStr">
        <is>
          <t>L</t>
        </is>
      </c>
      <c r="I488" s="0">
        <v>54.99</v>
      </c>
      <c r="J488" s="0">
        <v>13</v>
      </c>
    </row>
    <row r="489" spans="1:10" customHeight="0">
      <c r="A489" s="0">
        <f>HYPERLINK("https://dl.dropboxusercontent.com/scl/fi/mmkoxfi40azvdaqomc4d7/sutton-151742-tn.jpg?rlkey=4ke2bchxbsiy3p47sbruj5kug&amp;dl=0","Click to download Image")</f>
      </c>
      <c r="B489" s="0">
        <f>HYPERLINK("https://dl.dropboxusercontent.com/scl/fi/brom2jbwdqoykfvs4oahh/womens-hoodie-and-sweatshirt-size-chartssutton.jpg?rlkey=7i9o7pr8wjk6kud8ags41g08n&amp;dl=0","Click to download SizeChart")</f>
      </c>
      <c r="C489" s="0" t="inlineStr">
        <is>
          <t>Sutton Women's Sweatshirt</t>
        </is>
      </c>
      <c r="D489" s="1">
        <v>151742</v>
      </c>
      <c r="E489" s="0" t="inlineStr">
        <is>
          <t>IOWA SUTTON W BK:151742D-XL</t>
        </is>
      </c>
      <c r="F489" s="2">
        <v>800151742077</v>
      </c>
      <c r="G489" s="0" t="inlineStr">
        <is>
          <t>WOMENS</t>
        </is>
      </c>
      <c r="H489" s="0" t="inlineStr">
        <is>
          <t>XL</t>
        </is>
      </c>
      <c r="I489" s="0">
        <v>54.99</v>
      </c>
      <c r="J489" s="0">
        <v>0</v>
      </c>
    </row>
    <row r="490" spans="1:10" customHeight="0">
      <c r="A490" s="0">
        <f>HYPERLINK("https://dl.dropboxusercontent.com/scl/fi/mmkoxfi40azvdaqomc4d7/sutton-151742-tn.jpg?rlkey=4ke2bchxbsiy3p47sbruj5kug&amp;dl=0","Click to download Image")</f>
      </c>
      <c r="B490" s="0">
        <f>HYPERLINK("https://dl.dropboxusercontent.com/scl/fi/brom2jbwdqoykfvs4oahh/womens-hoodie-and-sweatshirt-size-chartssutton.jpg?rlkey=7i9o7pr8wjk6kud8ags41g08n&amp;dl=0","Click to download SizeChart")</f>
      </c>
      <c r="C490" s="0" t="inlineStr">
        <is>
          <t>Sutton Women's Sweatshirt</t>
        </is>
      </c>
      <c r="D490" s="1">
        <v>151742</v>
      </c>
      <c r="E490" s="0" t="inlineStr">
        <is>
          <t>IOWA SUTTON W BK:151742E-2XL</t>
        </is>
      </c>
      <c r="F490" s="2">
        <v>800151742084</v>
      </c>
      <c r="G490" s="0" t="inlineStr">
        <is>
          <t>WOMENS</t>
        </is>
      </c>
      <c r="H490" s="0" t="inlineStr">
        <is>
          <t>2XL</t>
        </is>
      </c>
      <c r="I490" s="0">
        <v>54.99</v>
      </c>
      <c r="J490" s="0">
        <v>0</v>
      </c>
    </row>
    <row r="491" spans="1:10" customHeight="0">
      <c r="A491" s="0">
        <f>HYPERLINK("https://dl.dropboxusercontent.com/scl/fi/mmkoxfi40azvdaqomc4d7/sutton-151742-tn.jpg?rlkey=4ke2bchxbsiy3p47sbruj5kug&amp;dl=0","Click to download Image")</f>
      </c>
      <c r="B491" s="0">
        <f>HYPERLINK("https://dl.dropboxusercontent.com/scl/fi/brom2jbwdqoykfvs4oahh/womens-hoodie-and-sweatshirt-size-chartssutton.jpg?rlkey=7i9o7pr8wjk6kud8ags41g08n&amp;dl=0","Click to download SizeChart")</f>
      </c>
      <c r="C491" s="0" t="inlineStr">
        <is>
          <t>Sutton Women's Sweatshirt</t>
        </is>
      </c>
      <c r="D491" s="1">
        <v>151742</v>
      </c>
      <c r="E491" s="0" t="inlineStr">
        <is>
          <t>IOWA SUTTON W BK:151742F-3XL</t>
        </is>
      </c>
      <c r="F491" s="2">
        <v>800151742091</v>
      </c>
      <c r="G491" s="0" t="inlineStr">
        <is>
          <t>WOMENS</t>
        </is>
      </c>
      <c r="H491" s="0" t="inlineStr">
        <is>
          <t>3XL</t>
        </is>
      </c>
      <c r="I491" s="0">
        <v>54.99</v>
      </c>
      <c r="J491" s="0">
        <v>1</v>
      </c>
    </row>
    <row r="492" spans="1:10" customHeight="0">
      <c r="A492" s="0">
        <f>HYPERLINK("https://dl.dropboxusercontent.com/scl/fi/mmkoxfi40azvdaqomc4d7/sutton-151742-tn.jpg?rlkey=4ke2bchxbsiy3p47sbruj5kug&amp;dl=0","Click to download Image")</f>
      </c>
      <c r="B492" s="0">
        <f>HYPERLINK("https://dl.dropboxusercontent.com/scl/fi/brom2jbwdqoykfvs4oahh/womens-hoodie-and-sweatshirt-size-chartssutton.jpg?rlkey=7i9o7pr8wjk6kud8ags41g08n&amp;dl=0","Click to download SizeChart")</f>
      </c>
      <c r="C492" s="0" t="inlineStr">
        <is>
          <t>Sutton Women's Sweatshirt</t>
        </is>
      </c>
      <c r="D492" s="1">
        <v>151742</v>
      </c>
      <c r="E492" s="0" t="inlineStr">
        <is>
          <t>IOWA SUTTON W BK:151742Z-12PK</t>
        </is>
      </c>
      <c r="F492" s="2">
        <v>800151742992</v>
      </c>
      <c r="G492" s="0" t="inlineStr">
        <is>
          <t>WOMENS</t>
        </is>
      </c>
      <c r="H492" s="0" t="inlineStr">
        <is>
          <t>12 PACK</t>
        </is>
      </c>
      <c r="I492" s="0">
        <v>528</v>
      </c>
      <c r="J492" s="0">
        <v>0</v>
      </c>
    </row>
    <row r="493" spans="1:10" customHeight="0">
      <c r="A493" s="0">
        <f>HYPERLINK("https://dl.dropboxusercontent.com/scl/fi/7tcsqoz6ctjwhhx7x5a0f/jamie-model.jpg?rlkey=bqm79pxdtcpr698fqcyjkbvy9&amp;dl=0","Click to download Image")</f>
      </c>
      <c r="C493" s="0" t="inlineStr">
        <is>
          <t>Jamie Youth Joggers</t>
        </is>
      </c>
      <c r="D493" s="1">
        <v>132900</v>
      </c>
      <c r="E493" s="0" t="inlineStr">
        <is>
          <t>IOWA JAMIE Y BK:132900B-YS</t>
        </is>
      </c>
      <c r="F493" s="2">
        <v>800132900014</v>
      </c>
      <c r="G493" s="0" t="inlineStr">
        <is>
          <t>YOUTH</t>
        </is>
      </c>
      <c r="H493" s="0" t="inlineStr">
        <is>
          <t>YS</t>
        </is>
      </c>
      <c r="I493" s="0">
        <v>34.99</v>
      </c>
      <c r="J493" s="0">
        <v>120</v>
      </c>
    </row>
    <row r="494" spans="1:10" customHeight="0">
      <c r="A494" s="0">
        <f>HYPERLINK("https://dl.dropboxusercontent.com/scl/fi/7tcsqoz6ctjwhhx7x5a0f/jamie-model.jpg?rlkey=bqm79pxdtcpr698fqcyjkbvy9&amp;dl=0","Click to download Image")</f>
      </c>
      <c r="C494" s="0" t="inlineStr">
        <is>
          <t>Jamie Youth Joggers</t>
        </is>
      </c>
      <c r="D494" s="1">
        <v>132900</v>
      </c>
      <c r="E494" s="0" t="inlineStr">
        <is>
          <t>IOWA JAMIE Y BK:132900C-YM</t>
        </is>
      </c>
      <c r="F494" s="2">
        <v>800132900021</v>
      </c>
      <c r="G494" s="0" t="inlineStr">
        <is>
          <t>YOUTH</t>
        </is>
      </c>
      <c r="H494" s="0" t="inlineStr">
        <is>
          <t>YM</t>
        </is>
      </c>
      <c r="I494" s="0">
        <v>34.99</v>
      </c>
      <c r="J494" s="0">
        <v>122</v>
      </c>
    </row>
    <row r="495" spans="1:10" customHeight="0">
      <c r="A495" s="0">
        <f>HYPERLINK("https://dl.dropboxusercontent.com/scl/fi/7tcsqoz6ctjwhhx7x5a0f/jamie-model.jpg?rlkey=bqm79pxdtcpr698fqcyjkbvy9&amp;dl=0","Click to download Image")</f>
      </c>
      <c r="C495" s="0" t="inlineStr">
        <is>
          <t>Jamie Youth Joggers</t>
        </is>
      </c>
      <c r="D495" s="1">
        <v>132900</v>
      </c>
      <c r="E495" s="0" t="inlineStr">
        <is>
          <t>IOWA JAMIE Y BK:132900D-YL</t>
        </is>
      </c>
      <c r="F495" s="2">
        <v>800132900038</v>
      </c>
      <c r="G495" s="0" t="inlineStr">
        <is>
          <t>YOUTH</t>
        </is>
      </c>
      <c r="H495" s="0" t="inlineStr">
        <is>
          <t>YL</t>
        </is>
      </c>
      <c r="I495" s="0">
        <v>34.99</v>
      </c>
      <c r="J495" s="0">
        <v>125</v>
      </c>
    </row>
    <row r="496" spans="1:10" customHeight="0">
      <c r="A496" s="0">
        <f>HYPERLINK("https://dl.dropboxusercontent.com/scl/fi/7tcsqoz6ctjwhhx7x5a0f/jamie-model.jpg?rlkey=bqm79pxdtcpr698fqcyjkbvy9&amp;dl=0","Click to download Image")</f>
      </c>
      <c r="C496" s="0" t="inlineStr">
        <is>
          <t>Jamie Youth Joggers</t>
        </is>
      </c>
      <c r="D496" s="1">
        <v>132900</v>
      </c>
      <c r="E496" s="0" t="inlineStr">
        <is>
          <t>IOWA JAMIE Y BK:132900E-YXL</t>
        </is>
      </c>
      <c r="F496" s="2">
        <v>800132900045</v>
      </c>
      <c r="G496" s="0" t="inlineStr">
        <is>
          <t>YOUTH</t>
        </is>
      </c>
      <c r="H496" s="0" t="inlineStr">
        <is>
          <t>YXL</t>
        </is>
      </c>
      <c r="I496" s="0">
        <v>34.99</v>
      </c>
      <c r="J496" s="0">
        <v>129</v>
      </c>
    </row>
    <row r="497" spans="1:10" customHeight="0">
      <c r="A497" s="0">
        <f>HYPERLINK("https://dl.dropboxusercontent.com/scl/fi/7tcsqoz6ctjwhhx7x5a0f/jamie-model.jpg?rlkey=bqm79pxdtcpr698fqcyjkbvy9&amp;dl=0","Click to download Image")</f>
      </c>
      <c r="C497" s="0" t="inlineStr">
        <is>
          <t>Jamie Youth Joggers</t>
        </is>
      </c>
      <c r="D497" s="1">
        <v>132900</v>
      </c>
      <c r="E497" s="0" t="inlineStr">
        <is>
          <t>IOWA JAMIE Y BK:132900Z-12PK</t>
        </is>
      </c>
      <c r="F497" s="2">
        <v>800132900991</v>
      </c>
      <c r="G497" s="0" t="inlineStr">
        <is>
          <t>YOUTH</t>
        </is>
      </c>
      <c r="H497" s="0" t="inlineStr">
        <is>
          <t>12 PACK</t>
        </is>
      </c>
      <c r="I497" s="0">
        <v>336</v>
      </c>
      <c r="J497" s="0">
        <v>18</v>
      </c>
    </row>
    <row r="498" spans="1:10" customHeight="0">
      <c r="A498" s="0">
        <f>HYPERLINK("https://dl.dropboxusercontent.com/scl/fi/zbc1smtul540gf71j6s8x/f22-120bc2.jpg?rlkey=6qcexjfrqzfu0zozk2u5h1bhm&amp;dl=0","Click to download Image")</f>
      </c>
      <c r="B498" s="0">
        <f>HYPERLINK("https://dl.dropboxusercontent.com/scl/fi/tenxmtcs4z3w7hlqdtfv7/mens-polo-size-chartsahrens.jpg?rlkey=lkiy1j8uduzhaxtv592u8p236&amp;dl=0","Click to download SizeChart")</f>
      </c>
      <c r="C498" s="0" t="inlineStr">
        <is>
          <t>Ahrens Men's Polo</t>
        </is>
      </c>
      <c r="D498" s="1">
        <v>126957</v>
      </c>
      <c r="E498" s="0" t="inlineStr">
        <is>
          <t>IOWA AHRENS M BK:126957A-S</t>
        </is>
      </c>
      <c r="F498" s="2">
        <v>800126957048</v>
      </c>
      <c r="G498" s="0" t="inlineStr">
        <is>
          <t>MENS</t>
        </is>
      </c>
      <c r="H498" s="0" t="inlineStr">
        <is>
          <t>S</t>
        </is>
      </c>
      <c r="I498" s="0">
        <v>49.99</v>
      </c>
      <c r="J498" s="0">
        <v>21</v>
      </c>
    </row>
    <row r="499" spans="1:10" customHeight="0">
      <c r="A499" s="0">
        <f>HYPERLINK("https://dl.dropboxusercontent.com/scl/fi/zbc1smtul540gf71j6s8x/f22-120bc2.jpg?rlkey=6qcexjfrqzfu0zozk2u5h1bhm&amp;dl=0","Click to download Image")</f>
      </c>
      <c r="B499" s="0">
        <f>HYPERLINK("https://dl.dropboxusercontent.com/scl/fi/tenxmtcs4z3w7hlqdtfv7/mens-polo-size-chartsahrens.jpg?rlkey=lkiy1j8uduzhaxtv592u8p236&amp;dl=0","Click to download SizeChart")</f>
      </c>
      <c r="C499" s="0" t="inlineStr">
        <is>
          <t>Ahrens Men's Polo</t>
        </is>
      </c>
      <c r="D499" s="1">
        <v>126957</v>
      </c>
      <c r="E499" s="0" t="inlineStr">
        <is>
          <t>IOWA AHRENS M BK:126957B-M</t>
        </is>
      </c>
      <c r="F499" s="2">
        <v>800126957055</v>
      </c>
      <c r="G499" s="0" t="inlineStr">
        <is>
          <t>MENS</t>
        </is>
      </c>
      <c r="H499" s="0" t="inlineStr">
        <is>
          <t>M</t>
        </is>
      </c>
      <c r="I499" s="0">
        <v>49.99</v>
      </c>
      <c r="J499" s="0">
        <v>9</v>
      </c>
    </row>
    <row r="500" spans="1:10" customHeight="0">
      <c r="A500" s="0">
        <f>HYPERLINK("https://dl.dropboxusercontent.com/scl/fi/zbc1smtul540gf71j6s8x/f22-120bc2.jpg?rlkey=6qcexjfrqzfu0zozk2u5h1bhm&amp;dl=0","Click to download Image")</f>
      </c>
      <c r="B500" s="0">
        <f>HYPERLINK("https://dl.dropboxusercontent.com/scl/fi/tenxmtcs4z3w7hlqdtfv7/mens-polo-size-chartsahrens.jpg?rlkey=lkiy1j8uduzhaxtv592u8p236&amp;dl=0","Click to download SizeChart")</f>
      </c>
      <c r="C500" s="0" t="inlineStr">
        <is>
          <t>Ahrens Men's Polo</t>
        </is>
      </c>
      <c r="D500" s="1">
        <v>126957</v>
      </c>
      <c r="E500" s="0" t="inlineStr">
        <is>
          <t>IOWA AHRENS M BK:126957C-L</t>
        </is>
      </c>
      <c r="F500" s="2">
        <v>800126957062</v>
      </c>
      <c r="G500" s="0" t="inlineStr">
        <is>
          <t>MENS</t>
        </is>
      </c>
      <c r="H500" s="0" t="inlineStr">
        <is>
          <t>L</t>
        </is>
      </c>
      <c r="I500" s="0">
        <v>49.99</v>
      </c>
      <c r="J500" s="0">
        <v>0</v>
      </c>
    </row>
    <row r="501" spans="1:10" customHeight="0">
      <c r="A501" s="0">
        <f>HYPERLINK("https://dl.dropboxusercontent.com/scl/fi/zbc1smtul540gf71j6s8x/f22-120bc2.jpg?rlkey=6qcexjfrqzfu0zozk2u5h1bhm&amp;dl=0","Click to download Image")</f>
      </c>
      <c r="B501" s="0">
        <f>HYPERLINK("https://dl.dropboxusercontent.com/scl/fi/tenxmtcs4z3w7hlqdtfv7/mens-polo-size-chartsahrens.jpg?rlkey=lkiy1j8uduzhaxtv592u8p236&amp;dl=0","Click to download SizeChart")</f>
      </c>
      <c r="C501" s="0" t="inlineStr">
        <is>
          <t>Ahrens Men's Polo</t>
        </is>
      </c>
      <c r="D501" s="1">
        <v>126957</v>
      </c>
      <c r="E501" s="0" t="inlineStr">
        <is>
          <t>IOWA AHRENS M BK:126957D-XL</t>
        </is>
      </c>
      <c r="F501" s="2">
        <v>800126957079</v>
      </c>
      <c r="G501" s="0" t="inlineStr">
        <is>
          <t>MENS</t>
        </is>
      </c>
      <c r="H501" s="0" t="inlineStr">
        <is>
          <t>XL</t>
        </is>
      </c>
      <c r="I501" s="0">
        <v>49.99</v>
      </c>
      <c r="J501" s="0">
        <v>0</v>
      </c>
    </row>
    <row r="502" spans="1:10" customHeight="0">
      <c r="A502" s="0">
        <f>HYPERLINK("https://dl.dropboxusercontent.com/scl/fi/zbc1smtul540gf71j6s8x/f22-120bc2.jpg?rlkey=6qcexjfrqzfu0zozk2u5h1bhm&amp;dl=0","Click to download Image")</f>
      </c>
      <c r="B502" s="0">
        <f>HYPERLINK("https://dl.dropboxusercontent.com/scl/fi/tenxmtcs4z3w7hlqdtfv7/mens-polo-size-chartsahrens.jpg?rlkey=lkiy1j8uduzhaxtv592u8p236&amp;dl=0","Click to download SizeChart")</f>
      </c>
      <c r="C502" s="0" t="inlineStr">
        <is>
          <t>Ahrens Men's Polo</t>
        </is>
      </c>
      <c r="D502" s="1">
        <v>126957</v>
      </c>
      <c r="E502" s="0" t="inlineStr">
        <is>
          <t>IOWA AHRENS M BK:126957E-2XL</t>
        </is>
      </c>
      <c r="F502" s="2">
        <v>800126957086</v>
      </c>
      <c r="G502" s="0" t="inlineStr">
        <is>
          <t>MENS</t>
        </is>
      </c>
      <c r="H502" s="0" t="inlineStr">
        <is>
          <t>2XL</t>
        </is>
      </c>
      <c r="I502" s="0">
        <v>49.99</v>
      </c>
      <c r="J502" s="0">
        <v>14</v>
      </c>
    </row>
    <row r="503" spans="1:10" customHeight="0">
      <c r="A503" s="0">
        <f>HYPERLINK("https://dl.dropboxusercontent.com/scl/fi/zbc1smtul540gf71j6s8x/f22-120bc2.jpg?rlkey=6qcexjfrqzfu0zozk2u5h1bhm&amp;dl=0","Click to download Image")</f>
      </c>
      <c r="B503" s="0">
        <f>HYPERLINK("https://dl.dropboxusercontent.com/scl/fi/tenxmtcs4z3w7hlqdtfv7/mens-polo-size-chartsahrens.jpg?rlkey=lkiy1j8uduzhaxtv592u8p236&amp;dl=0","Click to download SizeChart")</f>
      </c>
      <c r="C503" s="0" t="inlineStr">
        <is>
          <t>Ahrens Men's Polo</t>
        </is>
      </c>
      <c r="D503" s="1">
        <v>126957</v>
      </c>
      <c r="E503" s="0" t="inlineStr">
        <is>
          <t>IOWA AHRENS M BK:126957F-3XL</t>
        </is>
      </c>
      <c r="F503" s="2">
        <v>800126957093</v>
      </c>
      <c r="G503" s="0" t="inlineStr">
        <is>
          <t>MENS</t>
        </is>
      </c>
      <c r="H503" s="0" t="inlineStr">
        <is>
          <t>3XL</t>
        </is>
      </c>
      <c r="I503" s="0">
        <v>49.99</v>
      </c>
      <c r="J503" s="0">
        <v>6</v>
      </c>
    </row>
    <row r="504" spans="1:10" customHeight="0">
      <c r="A504" s="0">
        <f>HYPERLINK("https://dl.dropboxusercontent.com/scl/fi/zbc1smtul540gf71j6s8x/f22-120bc2.jpg?rlkey=6qcexjfrqzfu0zozk2u5h1bhm&amp;dl=0","Click to download Image")</f>
      </c>
      <c r="B504" s="0">
        <f>HYPERLINK("https://dl.dropboxusercontent.com/scl/fi/tenxmtcs4z3w7hlqdtfv7/mens-polo-size-chartsahrens.jpg?rlkey=lkiy1j8uduzhaxtv592u8p236&amp;dl=0","Click to download SizeChart")</f>
      </c>
      <c r="C504" s="0" t="inlineStr">
        <is>
          <t>Ahrens Men's Polo</t>
        </is>
      </c>
      <c r="D504" s="1">
        <v>126957</v>
      </c>
      <c r="E504" s="0" t="inlineStr">
        <is>
          <t>IOWA AHRENS M BK 12PK:126957Z-12PK</t>
        </is>
      </c>
      <c r="F504" s="2">
        <v>800126957994</v>
      </c>
      <c r="G504" s="0" t="inlineStr">
        <is>
          <t>MENS</t>
        </is>
      </c>
      <c r="H504" s="0" t="inlineStr">
        <is>
          <t>12 PACK</t>
        </is>
      </c>
      <c r="I504" s="0">
        <v>482</v>
      </c>
      <c r="J504" s="0">
        <v>0</v>
      </c>
    </row>
    <row r="505" spans="1:10" customHeight="0">
      <c r="A505" s="0">
        <f>HYPERLINK("https://dl.dropboxusercontent.com/scl/fi/ko3y103cmjjw3tzgkv6fh/144384f.jpg?rlkey=7lgstddd9yq5dx539sj1srjik&amp;dl=0","Click to download Image")</f>
      </c>
      <c r="B505" s="0">
        <f>HYPERLINK("https://dl.dropboxusercontent.com/scl/fi/tenxmtcs4z3w7hlqdtfv7/mens-polo-size-chartsahrens.jpg?rlkey=lkiy1j8uduzhaxtv592u8p236&amp;dl=0","Click to download SizeChart")</f>
      </c>
      <c r="C505" s="0" t="inlineStr">
        <is>
          <t>Ahrens Men's Polo</t>
        </is>
      </c>
      <c r="D505" s="1">
        <v>144384</v>
      </c>
      <c r="E505" s="0" t="inlineStr">
        <is>
          <t>IOWA AHRENS M GY:144384A-S</t>
        </is>
      </c>
      <c r="F505" s="2">
        <v>800144384048</v>
      </c>
      <c r="G505" s="0" t="inlineStr">
        <is>
          <t>MENS</t>
        </is>
      </c>
      <c r="H505" s="0" t="inlineStr">
        <is>
          <t>S</t>
        </is>
      </c>
      <c r="I505" s="0">
        <v>49.99</v>
      </c>
      <c r="J505" s="0">
        <v>2</v>
      </c>
    </row>
    <row r="506" spans="1:10" customHeight="0">
      <c r="A506" s="0">
        <f>HYPERLINK("https://dl.dropboxusercontent.com/scl/fi/ko3y103cmjjw3tzgkv6fh/144384f.jpg?rlkey=7lgstddd9yq5dx539sj1srjik&amp;dl=0","Click to download Image")</f>
      </c>
      <c r="B506" s="0">
        <f>HYPERLINK("https://dl.dropboxusercontent.com/scl/fi/tenxmtcs4z3w7hlqdtfv7/mens-polo-size-chartsahrens.jpg?rlkey=lkiy1j8uduzhaxtv592u8p236&amp;dl=0","Click to download SizeChart")</f>
      </c>
      <c r="C506" s="0" t="inlineStr">
        <is>
          <t>Ahrens Men's Polo</t>
        </is>
      </c>
      <c r="D506" s="1">
        <v>144384</v>
      </c>
      <c r="E506" s="0" t="inlineStr">
        <is>
          <t>IOWA AHRENS M GY:144384B-M</t>
        </is>
      </c>
      <c r="F506" s="2">
        <v>800144384055</v>
      </c>
      <c r="G506" s="0" t="inlineStr">
        <is>
          <t>MENS</t>
        </is>
      </c>
      <c r="H506" s="0" t="inlineStr">
        <is>
          <t>M</t>
        </is>
      </c>
      <c r="I506" s="0">
        <v>49.99</v>
      </c>
      <c r="J506" s="0">
        <v>1</v>
      </c>
    </row>
    <row r="507" spans="1:10" customHeight="0">
      <c r="A507" s="0">
        <f>HYPERLINK("https://dl.dropboxusercontent.com/scl/fi/ko3y103cmjjw3tzgkv6fh/144384f.jpg?rlkey=7lgstddd9yq5dx539sj1srjik&amp;dl=0","Click to download Image")</f>
      </c>
      <c r="B507" s="0">
        <f>HYPERLINK("https://dl.dropboxusercontent.com/scl/fi/tenxmtcs4z3w7hlqdtfv7/mens-polo-size-chartsahrens.jpg?rlkey=lkiy1j8uduzhaxtv592u8p236&amp;dl=0","Click to download SizeChart")</f>
      </c>
      <c r="C507" s="0" t="inlineStr">
        <is>
          <t>Ahrens Men's Polo</t>
        </is>
      </c>
      <c r="D507" s="1">
        <v>144384</v>
      </c>
      <c r="E507" s="0" t="inlineStr">
        <is>
          <t>IOWA AHRENS M GY:144384C-L</t>
        </is>
      </c>
      <c r="F507" s="2">
        <v>800144384062</v>
      </c>
      <c r="G507" s="0" t="inlineStr">
        <is>
          <t>MENS</t>
        </is>
      </c>
      <c r="H507" s="0" t="inlineStr">
        <is>
          <t>L</t>
        </is>
      </c>
      <c r="I507" s="0">
        <v>49.99</v>
      </c>
      <c r="J507" s="0">
        <v>0</v>
      </c>
    </row>
    <row r="508" spans="1:10" customHeight="0">
      <c r="A508" s="0">
        <f>HYPERLINK("https://dl.dropboxusercontent.com/scl/fi/ko3y103cmjjw3tzgkv6fh/144384f.jpg?rlkey=7lgstddd9yq5dx539sj1srjik&amp;dl=0","Click to download Image")</f>
      </c>
      <c r="B508" s="0">
        <f>HYPERLINK("https://dl.dropboxusercontent.com/scl/fi/tenxmtcs4z3w7hlqdtfv7/mens-polo-size-chartsahrens.jpg?rlkey=lkiy1j8uduzhaxtv592u8p236&amp;dl=0","Click to download SizeChart")</f>
      </c>
      <c r="C508" s="0" t="inlineStr">
        <is>
          <t>Ahrens Men's Polo</t>
        </is>
      </c>
      <c r="D508" s="1">
        <v>144384</v>
      </c>
      <c r="E508" s="0" t="inlineStr">
        <is>
          <t>IOWA AHRENS M GY:144384D-XL</t>
        </is>
      </c>
      <c r="F508" s="2">
        <v>800144384079</v>
      </c>
      <c r="G508" s="0" t="inlineStr">
        <is>
          <t>MENS</t>
        </is>
      </c>
      <c r="H508" s="0" t="inlineStr">
        <is>
          <t>XL</t>
        </is>
      </c>
      <c r="I508" s="0">
        <v>49.99</v>
      </c>
      <c r="J508" s="0">
        <v>1</v>
      </c>
    </row>
    <row r="509" spans="1:10" customHeight="0">
      <c r="A509" s="0">
        <f>HYPERLINK("https://dl.dropboxusercontent.com/scl/fi/ko3y103cmjjw3tzgkv6fh/144384f.jpg?rlkey=7lgstddd9yq5dx539sj1srjik&amp;dl=0","Click to download Image")</f>
      </c>
      <c r="B509" s="0">
        <f>HYPERLINK("https://dl.dropboxusercontent.com/scl/fi/tenxmtcs4z3w7hlqdtfv7/mens-polo-size-chartsahrens.jpg?rlkey=lkiy1j8uduzhaxtv592u8p236&amp;dl=0","Click to download SizeChart")</f>
      </c>
      <c r="C509" s="0" t="inlineStr">
        <is>
          <t>Ahrens Men's Polo</t>
        </is>
      </c>
      <c r="D509" s="1">
        <v>144384</v>
      </c>
      <c r="E509" s="0" t="inlineStr">
        <is>
          <t>IOWA AHRENS M GY:144384E-2XL</t>
        </is>
      </c>
      <c r="F509" s="2">
        <v>800144384086</v>
      </c>
      <c r="G509" s="0" t="inlineStr">
        <is>
          <t>MENS</t>
        </is>
      </c>
      <c r="H509" s="0" t="inlineStr">
        <is>
          <t>2XL</t>
        </is>
      </c>
      <c r="I509" s="0">
        <v>49.99</v>
      </c>
      <c r="J509" s="0">
        <v>0</v>
      </c>
    </row>
    <row r="510" spans="1:10" customHeight="0">
      <c r="A510" s="0">
        <f>HYPERLINK("https://dl.dropboxusercontent.com/scl/fi/ko3y103cmjjw3tzgkv6fh/144384f.jpg?rlkey=7lgstddd9yq5dx539sj1srjik&amp;dl=0","Click to download Image")</f>
      </c>
      <c r="B510" s="0">
        <f>HYPERLINK("https://dl.dropboxusercontent.com/scl/fi/tenxmtcs4z3w7hlqdtfv7/mens-polo-size-chartsahrens.jpg?rlkey=lkiy1j8uduzhaxtv592u8p236&amp;dl=0","Click to download SizeChart")</f>
      </c>
      <c r="C510" s="0" t="inlineStr">
        <is>
          <t>Ahrens Men's Polo</t>
        </is>
      </c>
      <c r="D510" s="1">
        <v>144384</v>
      </c>
      <c r="E510" s="0" t="inlineStr">
        <is>
          <t>IOWA AHRENS M GY:144384F-3XL</t>
        </is>
      </c>
      <c r="F510" s="2">
        <v>800144384093</v>
      </c>
      <c r="G510" s="0" t="inlineStr">
        <is>
          <t>MENS</t>
        </is>
      </c>
      <c r="H510" s="0" t="inlineStr">
        <is>
          <t>3XL</t>
        </is>
      </c>
      <c r="I510" s="0">
        <v>49.99</v>
      </c>
      <c r="J510" s="0">
        <v>1</v>
      </c>
    </row>
    <row r="511" spans="1:10" customHeight="0">
      <c r="A511" s="0">
        <f>HYPERLINK("https://dl.dropboxusercontent.com/scl/fi/un06i40bw3ccb5kq0osji/126898-af.jpg?rlkey=naukp8i81ymbtjv6xwlwhol7j&amp;dl=0","Click to download Image")</f>
      </c>
      <c r="C511" s="0" t="inlineStr">
        <is>
          <t>Draco Infant Cap</t>
        </is>
      </c>
      <c r="D511" s="1">
        <v>126898</v>
      </c>
      <c r="E511" s="0" t="inlineStr">
        <is>
          <t>IOWA DRACO I CO:126898</t>
        </is>
      </c>
      <c r="F511" s="2">
        <v>700126898054</v>
      </c>
      <c r="G511" s="0" t="inlineStr">
        <is>
          <t>INFANT</t>
        </is>
      </c>
      <c r="H511" s="0" t="inlineStr">
        <is>
          <t>STANDARD:47CM</t>
        </is>
      </c>
      <c r="I511" s="0">
        <v>24.99</v>
      </c>
      <c r="J511" s="0">
        <v>15</v>
      </c>
    </row>
    <row r="512" spans="1:10" customHeight="0">
      <c r="A512" s="0">
        <f>HYPERLINK("https://dl.dropboxusercontent.com/scl/fi/b0qbjx5y4kw5j3odf5nsp/draco-133692-af.jpg?rlkey=ntcyv7wzsksoezb98becrouit&amp;dl=0","Click to download Image")</f>
      </c>
      <c r="C512" s="0" t="inlineStr">
        <is>
          <t>Draco Infant Cap</t>
        </is>
      </c>
      <c r="D512" s="1">
        <v>133692</v>
      </c>
      <c r="E512" s="0" t="inlineStr">
        <is>
          <t>IOWA DRACO I BK:133692</t>
        </is>
      </c>
      <c r="F512" s="2">
        <v>700133692058</v>
      </c>
      <c r="G512" s="0" t="inlineStr">
        <is>
          <t>INFANT</t>
        </is>
      </c>
      <c r="H512" s="0" t="inlineStr">
        <is>
          <t>STANDARD:47CM</t>
        </is>
      </c>
      <c r="I512" s="0">
        <v>24.99</v>
      </c>
      <c r="J512" s="0">
        <v>25</v>
      </c>
    </row>
    <row r="513" spans="1:10" customHeight="0">
      <c r="A513" s="0">
        <f>HYPERLINK("https://dl.dropboxusercontent.com/scl/fi/umgjldh7045yg9ggc5724/fielder-133044-f.jpg?rlkey=eihog1l8luttu8mfctjlbuz86&amp;dl=0","Click to download Image")</f>
      </c>
      <c r="C513" s="0" t="inlineStr">
        <is>
          <t>Fielder Youth Hoodie</t>
        </is>
      </c>
      <c r="D513" s="1">
        <v>133041</v>
      </c>
      <c r="E513" s="0" t="inlineStr">
        <is>
          <t>IOWA FIELDE Y AT:133041B-YS</t>
        </is>
      </c>
      <c r="F513" s="2">
        <v>800133041013</v>
      </c>
      <c r="G513" s="0" t="inlineStr">
        <is>
          <t>YOUTH</t>
        </is>
      </c>
      <c r="H513" s="0" t="inlineStr">
        <is>
          <t>YS</t>
        </is>
      </c>
      <c r="I513" s="0">
        <v>59.99</v>
      </c>
      <c r="J513" s="0">
        <v>4</v>
      </c>
    </row>
    <row r="514" spans="1:10" customHeight="0">
      <c r="A514" s="0">
        <f>HYPERLINK("https://dl.dropboxusercontent.com/scl/fi/umgjldh7045yg9ggc5724/fielder-133044-f.jpg?rlkey=eihog1l8luttu8mfctjlbuz86&amp;dl=0","Click to download Image")</f>
      </c>
      <c r="C514" s="0" t="inlineStr">
        <is>
          <t>Fielder Youth Hoodie</t>
        </is>
      </c>
      <c r="D514" s="1">
        <v>133041</v>
      </c>
      <c r="E514" s="0" t="inlineStr">
        <is>
          <t>IOWA FIELDE Y AT:133041C-YM</t>
        </is>
      </c>
      <c r="F514" s="2">
        <v>800133041020</v>
      </c>
      <c r="G514" s="0" t="inlineStr">
        <is>
          <t>YOUTH</t>
        </is>
      </c>
      <c r="H514" s="0" t="inlineStr">
        <is>
          <t>YM</t>
        </is>
      </c>
      <c r="I514" s="0">
        <v>59.99</v>
      </c>
      <c r="J514" s="0">
        <v>3</v>
      </c>
    </row>
    <row r="515" spans="1:10" customHeight="0">
      <c r="A515" s="0">
        <f>HYPERLINK("https://dl.dropboxusercontent.com/scl/fi/umgjldh7045yg9ggc5724/fielder-133044-f.jpg?rlkey=eihog1l8luttu8mfctjlbuz86&amp;dl=0","Click to download Image")</f>
      </c>
      <c r="C515" s="0" t="inlineStr">
        <is>
          <t>Fielder Youth Hoodie</t>
        </is>
      </c>
      <c r="D515" s="1">
        <v>133041</v>
      </c>
      <c r="E515" s="0" t="inlineStr">
        <is>
          <t>IOWA FIELDE Y AT:133041D-YL</t>
        </is>
      </c>
      <c r="F515" s="2">
        <v>800133041037</v>
      </c>
      <c r="G515" s="0" t="inlineStr">
        <is>
          <t>YOUTH</t>
        </is>
      </c>
      <c r="H515" s="0" t="inlineStr">
        <is>
          <t>YL</t>
        </is>
      </c>
      <c r="I515" s="0">
        <v>59.99</v>
      </c>
      <c r="J515" s="0">
        <v>4</v>
      </c>
    </row>
    <row r="516" spans="1:10" customHeight="0">
      <c r="A516" s="0">
        <f>HYPERLINK("https://dl.dropboxusercontent.com/scl/fi/umgjldh7045yg9ggc5724/fielder-133044-f.jpg?rlkey=eihog1l8luttu8mfctjlbuz86&amp;dl=0","Click to download Image")</f>
      </c>
      <c r="C516" s="0" t="inlineStr">
        <is>
          <t>Fielder Youth Hoodie</t>
        </is>
      </c>
      <c r="D516" s="1">
        <v>133041</v>
      </c>
      <c r="E516" s="0" t="inlineStr">
        <is>
          <t>IOWA FIELDE Y AT:133041E-YXL</t>
        </is>
      </c>
      <c r="F516" s="2">
        <v>800133041044</v>
      </c>
      <c r="G516" s="0" t="inlineStr">
        <is>
          <t>YOUTH</t>
        </is>
      </c>
      <c r="H516" s="0" t="inlineStr">
        <is>
          <t>YXL</t>
        </is>
      </c>
      <c r="I516" s="0">
        <v>59.99</v>
      </c>
      <c r="J516" s="0">
        <v>5</v>
      </c>
    </row>
    <row r="517" spans="1:10" customHeight="0">
      <c r="A517" s="0">
        <f>HYPERLINK("https://dl.dropboxusercontent.com/scl/fi/umgjldh7045yg9ggc5724/fielder-133044-f.jpg?rlkey=eihog1l8luttu8mfctjlbuz86&amp;dl=0","Click to download Image")</f>
      </c>
      <c r="C517" s="0" t="inlineStr">
        <is>
          <t>Fielder Youth Hoodie</t>
        </is>
      </c>
      <c r="D517" s="1">
        <v>133041</v>
      </c>
      <c r="E517" s="0" t="inlineStr">
        <is>
          <t>IOWA FIELDE Y AT 12PK:133041Z-12PK</t>
        </is>
      </c>
      <c r="F517" s="2">
        <v>800133041990</v>
      </c>
      <c r="G517" s="0" t="inlineStr">
        <is>
          <t>YOUTH</t>
        </is>
      </c>
      <c r="H517" s="0" t="inlineStr">
        <is>
          <t>12 PACK</t>
        </is>
      </c>
      <c r="I517" s="0">
        <v>528</v>
      </c>
      <c r="J517" s="0">
        <v>0</v>
      </c>
    </row>
    <row r="518" spans="1:10" customHeight="0">
      <c r="A518" s="0">
        <f>HYPERLINK("https://dl.dropboxusercontent.com/scl/fi/knuinbd2qcswvuqf2lrql/fielder-133044-f.jpg?rlkey=x5iauej1cpztfse12ccs6s7ht&amp;dl=0","Click to download Image")</f>
      </c>
      <c r="C518" s="0" t="inlineStr">
        <is>
          <t>Fielder Toddler Hoodie</t>
        </is>
      </c>
      <c r="D518" s="1">
        <v>133044</v>
      </c>
      <c r="E518" s="0" t="inlineStr">
        <is>
          <t>IOWA FIELDE T AT:133044A-2T</t>
        </is>
      </c>
      <c r="F518" s="2">
        <v>800133044083</v>
      </c>
      <c r="G518" s="0" t="inlineStr">
        <is>
          <t>TODDLER</t>
        </is>
      </c>
      <c r="H518" s="0" t="inlineStr">
        <is>
          <t>2T</t>
        </is>
      </c>
      <c r="I518" s="0">
        <v>59.99</v>
      </c>
      <c r="J518" s="0">
        <v>20</v>
      </c>
    </row>
    <row r="519" spans="1:10" customHeight="0">
      <c r="A519" s="0">
        <f>HYPERLINK("https://dl.dropboxusercontent.com/scl/fi/knuinbd2qcswvuqf2lrql/fielder-133044-f.jpg?rlkey=x5iauej1cpztfse12ccs6s7ht&amp;dl=0","Click to download Image")</f>
      </c>
      <c r="C519" s="0" t="inlineStr">
        <is>
          <t>Fielder Toddler Hoodie</t>
        </is>
      </c>
      <c r="D519" s="1">
        <v>133044</v>
      </c>
      <c r="E519" s="0" t="inlineStr">
        <is>
          <t>IOWA FIELDE T AT:133044B-3T</t>
        </is>
      </c>
      <c r="F519" s="2">
        <v>800133044090</v>
      </c>
      <c r="G519" s="0" t="inlineStr">
        <is>
          <t>TODDLER</t>
        </is>
      </c>
      <c r="H519" s="0" t="inlineStr">
        <is>
          <t>3T</t>
        </is>
      </c>
      <c r="I519" s="0">
        <v>59.99</v>
      </c>
      <c r="J519" s="0">
        <v>21</v>
      </c>
    </row>
    <row r="520" spans="1:10" customHeight="0">
      <c r="A520" s="0">
        <f>HYPERLINK("https://dl.dropboxusercontent.com/scl/fi/knuinbd2qcswvuqf2lrql/fielder-133044-f.jpg?rlkey=x5iauej1cpztfse12ccs6s7ht&amp;dl=0","Click to download Image")</f>
      </c>
      <c r="C520" s="0" t="inlineStr">
        <is>
          <t>Fielder Toddler Hoodie</t>
        </is>
      </c>
      <c r="D520" s="1">
        <v>133044</v>
      </c>
      <c r="E520" s="0" t="inlineStr">
        <is>
          <t>IOWA FIELDE T AT:133044C-4T</t>
        </is>
      </c>
      <c r="F520" s="2">
        <v>800133044106</v>
      </c>
      <c r="G520" s="0" t="inlineStr">
        <is>
          <t>TODDLER</t>
        </is>
      </c>
      <c r="H520" s="0" t="inlineStr">
        <is>
          <t>4T</t>
        </is>
      </c>
      <c r="I520" s="0">
        <v>59.99</v>
      </c>
      <c r="J520" s="0">
        <v>21</v>
      </c>
    </row>
    <row r="521" spans="1:10" customHeight="0">
      <c r="A521" s="0">
        <f>HYPERLINK("https://dl.dropboxusercontent.com/scl/fi/knuinbd2qcswvuqf2lrql/fielder-133044-f.jpg?rlkey=x5iauej1cpztfse12ccs6s7ht&amp;dl=0","Click to download Image")</f>
      </c>
      <c r="C521" s="0" t="inlineStr">
        <is>
          <t>Fielder Toddler Hoodie</t>
        </is>
      </c>
      <c r="D521" s="1">
        <v>133044</v>
      </c>
      <c r="E521" s="0" t="inlineStr">
        <is>
          <t>IOWA FIELDE T AT:133044D-5T</t>
        </is>
      </c>
      <c r="F521" s="2">
        <v>800133044113</v>
      </c>
      <c r="G521" s="0" t="inlineStr">
        <is>
          <t>TODDLER</t>
        </is>
      </c>
      <c r="H521" s="0" t="inlineStr">
        <is>
          <t>5T</t>
        </is>
      </c>
      <c r="I521" s="0">
        <v>59.99</v>
      </c>
      <c r="J521" s="0">
        <v>19</v>
      </c>
    </row>
    <row r="522" spans="1:10" customHeight="0">
      <c r="A522" s="0">
        <f>HYPERLINK("https://dl.dropboxusercontent.com/scl/fi/knuinbd2qcswvuqf2lrql/fielder-133044-f.jpg?rlkey=x5iauej1cpztfse12ccs6s7ht&amp;dl=0","Click to download Image")</f>
      </c>
      <c r="C522" s="0" t="inlineStr">
        <is>
          <t>Fielder Toddler Hoodie</t>
        </is>
      </c>
      <c r="D522" s="1">
        <v>133044</v>
      </c>
      <c r="E522" s="0" t="inlineStr">
        <is>
          <t>IOWA FIELDE T AT 12PK:133044Z-12PK</t>
        </is>
      </c>
      <c r="F522" s="2">
        <v>800133044991</v>
      </c>
      <c r="G522" s="0" t="inlineStr">
        <is>
          <t>TODDLER</t>
        </is>
      </c>
      <c r="H522" s="0" t="inlineStr">
        <is>
          <t>12 PACK</t>
        </is>
      </c>
      <c r="I522" s="0">
        <v>528</v>
      </c>
      <c r="J522" s="0">
        <v>0</v>
      </c>
    </row>
    <row r="523" spans="1:10" customHeight="0">
      <c r="A523" s="0">
        <f>HYPERLINK("https://dl.dropboxusercontent.com/scl/fi/yw6a8hc0ofuusa8m6xua1/fielder-132470-f.jpg?rlkey=l50g66zzjcdd3cvvt0ephgjxr&amp;dl=0","Click to download Image")</f>
      </c>
      <c r="C523" s="0" t="inlineStr">
        <is>
          <t>Fielder Youth Hoodie</t>
        </is>
      </c>
      <c r="D523" s="1">
        <v>132470</v>
      </c>
      <c r="E523" s="0" t="inlineStr">
        <is>
          <t>IOWA FIELDE Y BC:132470B-YS</t>
        </is>
      </c>
      <c r="F523" s="2">
        <v>800132470012</v>
      </c>
      <c r="G523" s="0" t="inlineStr">
        <is>
          <t>YOUTH</t>
        </is>
      </c>
      <c r="H523" s="0" t="inlineStr">
        <is>
          <t>YS</t>
        </is>
      </c>
      <c r="I523" s="0">
        <v>59.99</v>
      </c>
      <c r="J523" s="0">
        <v>2</v>
      </c>
    </row>
    <row r="524" spans="1:10" customHeight="0">
      <c r="A524" s="0">
        <f>HYPERLINK("https://dl.dropboxusercontent.com/scl/fi/yw6a8hc0ofuusa8m6xua1/fielder-132470-f.jpg?rlkey=l50g66zzjcdd3cvvt0ephgjxr&amp;dl=0","Click to download Image")</f>
      </c>
      <c r="C524" s="0" t="inlineStr">
        <is>
          <t>Fielder Youth Hoodie</t>
        </is>
      </c>
      <c r="D524" s="1">
        <v>132470</v>
      </c>
      <c r="E524" s="0" t="inlineStr">
        <is>
          <t>IOWA FIELDE Y BC:132470C-YM</t>
        </is>
      </c>
      <c r="F524" s="2">
        <v>800132470029</v>
      </c>
      <c r="G524" s="0" t="inlineStr">
        <is>
          <t>YOUTH</t>
        </is>
      </c>
      <c r="H524" s="0" t="inlineStr">
        <is>
          <t>YM</t>
        </is>
      </c>
      <c r="I524" s="0">
        <v>59.99</v>
      </c>
      <c r="J524" s="0">
        <v>1</v>
      </c>
    </row>
    <row r="525" spans="1:10" customHeight="0">
      <c r="A525" s="0">
        <f>HYPERLINK("https://dl.dropboxusercontent.com/scl/fi/yw6a8hc0ofuusa8m6xua1/fielder-132470-f.jpg?rlkey=l50g66zzjcdd3cvvt0ephgjxr&amp;dl=0","Click to download Image")</f>
      </c>
      <c r="C525" s="0" t="inlineStr">
        <is>
          <t>Fielder Youth Hoodie</t>
        </is>
      </c>
      <c r="D525" s="1">
        <v>132470</v>
      </c>
      <c r="E525" s="0" t="inlineStr">
        <is>
          <t>IOWA FIELDE Y BC:132470D-YL</t>
        </is>
      </c>
      <c r="F525" s="2">
        <v>800132470036</v>
      </c>
      <c r="G525" s="0" t="inlineStr">
        <is>
          <t>YOUTH</t>
        </is>
      </c>
      <c r="H525" s="0" t="inlineStr">
        <is>
          <t>YL</t>
        </is>
      </c>
      <c r="I525" s="0">
        <v>59.99</v>
      </c>
      <c r="J525" s="0">
        <v>4</v>
      </c>
    </row>
    <row r="526" spans="1:10" customHeight="0">
      <c r="A526" s="0">
        <f>HYPERLINK("https://dl.dropboxusercontent.com/scl/fi/yw6a8hc0ofuusa8m6xua1/fielder-132470-f.jpg?rlkey=l50g66zzjcdd3cvvt0ephgjxr&amp;dl=0","Click to download Image")</f>
      </c>
      <c r="C526" s="0" t="inlineStr">
        <is>
          <t>Fielder Youth Hoodie</t>
        </is>
      </c>
      <c r="D526" s="1">
        <v>132470</v>
      </c>
      <c r="E526" s="0" t="inlineStr">
        <is>
          <t>IOWA FIELDE Y BC:132470E-YXL</t>
        </is>
      </c>
      <c r="F526" s="2">
        <v>800132470043</v>
      </c>
      <c r="G526" s="0" t="inlineStr">
        <is>
          <t>YOUTH</t>
        </is>
      </c>
      <c r="H526" s="0" t="inlineStr">
        <is>
          <t>YXL</t>
        </is>
      </c>
      <c r="I526" s="0">
        <v>59.99</v>
      </c>
      <c r="J526" s="0">
        <v>2</v>
      </c>
    </row>
    <row r="527" spans="1:10" customHeight="0">
      <c r="A527" s="0">
        <f>HYPERLINK("https://dl.dropboxusercontent.com/scl/fi/yw6a8hc0ofuusa8m6xua1/fielder-132470-f.jpg?rlkey=l50g66zzjcdd3cvvt0ephgjxr&amp;dl=0","Click to download Image")</f>
      </c>
      <c r="C527" s="0" t="inlineStr">
        <is>
          <t>Fielder Youth Hoodie</t>
        </is>
      </c>
      <c r="D527" s="1">
        <v>132470</v>
      </c>
      <c r="E527" s="0" t="inlineStr">
        <is>
          <t>IOWA FIELDE Y BC:132470Z-12PK</t>
        </is>
      </c>
      <c r="F527" s="2">
        <v>800132470999</v>
      </c>
      <c r="G527" s="0" t="inlineStr">
        <is>
          <t>YOUTH</t>
        </is>
      </c>
      <c r="H527" s="0" t="inlineStr">
        <is>
          <t>12 PACK</t>
        </is>
      </c>
      <c r="I527" s="0">
        <v>528</v>
      </c>
      <c r="J527" s="0">
        <v>0</v>
      </c>
    </row>
    <row r="528" spans="1:10" customHeight="0">
      <c r="A528" s="0">
        <f>HYPERLINK("https://dl.dropboxusercontent.com/scl/fi/68m2vrrlgx6qdxoff97gf/fielder-132469-f.jpg?rlkey=kv2gqtdxq72ksmbbdt6u9j59v&amp;dl=0","Click to download Image")</f>
      </c>
      <c r="C528" s="0" t="inlineStr">
        <is>
          <t>Fielder Youth Hoodie</t>
        </is>
      </c>
      <c r="D528" s="1">
        <v>132469</v>
      </c>
      <c r="E528" s="0" t="inlineStr">
        <is>
          <t>ISU FIELDE Y BC:132469B-YS</t>
        </is>
      </c>
      <c r="F528" s="2">
        <v>801132469013</v>
      </c>
      <c r="G528" s="0" t="inlineStr">
        <is>
          <t>YOUTH</t>
        </is>
      </c>
      <c r="H528" s="0" t="inlineStr">
        <is>
          <t>YS</t>
        </is>
      </c>
      <c r="I528" s="0">
        <v>59.99</v>
      </c>
      <c r="J528" s="0">
        <v>2</v>
      </c>
    </row>
    <row r="529" spans="1:10" customHeight="0">
      <c r="A529" s="0">
        <f>HYPERLINK("https://dl.dropboxusercontent.com/scl/fi/68m2vrrlgx6qdxoff97gf/fielder-132469-f.jpg?rlkey=kv2gqtdxq72ksmbbdt6u9j59v&amp;dl=0","Click to download Image")</f>
      </c>
      <c r="C529" s="0" t="inlineStr">
        <is>
          <t>Fielder Youth Hoodie</t>
        </is>
      </c>
      <c r="D529" s="1">
        <v>132469</v>
      </c>
      <c r="E529" s="0" t="inlineStr">
        <is>
          <t>ISU FIELDE Y BC:132469C-YM</t>
        </is>
      </c>
      <c r="F529" s="2">
        <v>801132469020</v>
      </c>
      <c r="G529" s="0" t="inlineStr">
        <is>
          <t>YOUTH</t>
        </is>
      </c>
      <c r="H529" s="0" t="inlineStr">
        <is>
          <t>YM</t>
        </is>
      </c>
      <c r="I529" s="0">
        <v>59.99</v>
      </c>
      <c r="J529" s="0">
        <v>2</v>
      </c>
    </row>
    <row r="530" spans="1:10" customHeight="0">
      <c r="A530" s="0">
        <f>HYPERLINK("https://dl.dropboxusercontent.com/scl/fi/68m2vrrlgx6qdxoff97gf/fielder-132469-f.jpg?rlkey=kv2gqtdxq72ksmbbdt6u9j59v&amp;dl=0","Click to download Image")</f>
      </c>
      <c r="C530" s="0" t="inlineStr">
        <is>
          <t>Fielder Youth Hoodie</t>
        </is>
      </c>
      <c r="D530" s="1">
        <v>132469</v>
      </c>
      <c r="E530" s="0" t="inlineStr">
        <is>
          <t>ISU FIELDE Y BC:132469D-YL</t>
        </is>
      </c>
      <c r="F530" s="2">
        <v>801132469037</v>
      </c>
      <c r="G530" s="0" t="inlineStr">
        <is>
          <t>YOUTH</t>
        </is>
      </c>
      <c r="H530" s="0" t="inlineStr">
        <is>
          <t>YL</t>
        </is>
      </c>
      <c r="I530" s="0">
        <v>59.99</v>
      </c>
      <c r="J530" s="0">
        <v>4</v>
      </c>
    </row>
    <row r="531" spans="1:10" customHeight="0">
      <c r="A531" s="0">
        <f>HYPERLINK("https://dl.dropboxusercontent.com/scl/fi/68m2vrrlgx6qdxoff97gf/fielder-132469-f.jpg?rlkey=kv2gqtdxq72ksmbbdt6u9j59v&amp;dl=0","Click to download Image")</f>
      </c>
      <c r="C531" s="0" t="inlineStr">
        <is>
          <t>Fielder Youth Hoodie</t>
        </is>
      </c>
      <c r="D531" s="1">
        <v>132469</v>
      </c>
      <c r="E531" s="0" t="inlineStr">
        <is>
          <t>ISU FIELDE Y BC:132469E-YXL</t>
        </is>
      </c>
      <c r="F531" s="2">
        <v>801132469044</v>
      </c>
      <c r="G531" s="0" t="inlineStr">
        <is>
          <t>YOUTH</t>
        </is>
      </c>
      <c r="H531" s="0" t="inlineStr">
        <is>
          <t>YXL</t>
        </is>
      </c>
      <c r="I531" s="0">
        <v>59.99</v>
      </c>
      <c r="J531" s="0">
        <v>4</v>
      </c>
    </row>
    <row r="532" spans="1:10" customHeight="0">
      <c r="A532" s="0">
        <f>HYPERLINK("https://dl.dropboxusercontent.com/scl/fi/68m2vrrlgx6qdxoff97gf/fielder-132469-f.jpg?rlkey=kv2gqtdxq72ksmbbdt6u9j59v&amp;dl=0","Click to download Image")</f>
      </c>
      <c r="C532" s="0" t="inlineStr">
        <is>
          <t>Fielder Youth Hoodie</t>
        </is>
      </c>
      <c r="D532" s="1">
        <v>132469</v>
      </c>
      <c r="E532" s="0" t="inlineStr">
        <is>
          <t>ISU FIELDE Y BC:132469Z-12PK</t>
        </is>
      </c>
      <c r="F532" s="2">
        <v>801132469990</v>
      </c>
      <c r="G532" s="0" t="inlineStr">
        <is>
          <t>YOUTH</t>
        </is>
      </c>
      <c r="H532" s="0" t="inlineStr">
        <is>
          <t>12 PACK</t>
        </is>
      </c>
      <c r="I532" s="0">
        <v>528</v>
      </c>
      <c r="J532" s="0">
        <v>0</v>
      </c>
    </row>
    <row r="533" spans="1:10" customHeight="0">
      <c r="A533" s="0">
        <f>HYPERLINK("https://dl.dropboxusercontent.com/scl/fi/y62z35nqqtc1su65kpbuc/fielder-132470-f.jpg?rlkey=f4vu0cdffrcd4w5vzduiyg0jr&amp;dl=0","Click to download Image")</f>
      </c>
      <c r="C533" s="0" t="inlineStr">
        <is>
          <t>Fielder Toddler Hoodie</t>
        </is>
      </c>
      <c r="D533" s="1">
        <v>132471</v>
      </c>
      <c r="E533" s="0" t="inlineStr">
        <is>
          <t>IOWA FIELDE T BC:132471A-2T</t>
        </is>
      </c>
      <c r="F533" s="2">
        <v>800132471088</v>
      </c>
      <c r="G533" s="0" t="inlineStr">
        <is>
          <t>TODDLER</t>
        </is>
      </c>
      <c r="H533" s="0" t="inlineStr">
        <is>
          <t>2T</t>
        </is>
      </c>
      <c r="I533" s="0">
        <v>59.99</v>
      </c>
      <c r="J533" s="0">
        <v>0</v>
      </c>
    </row>
    <row r="534" spans="1:10" customHeight="0">
      <c r="A534" s="0">
        <f>HYPERLINK("https://dl.dropboxusercontent.com/scl/fi/y62z35nqqtc1su65kpbuc/fielder-132470-f.jpg?rlkey=f4vu0cdffrcd4w5vzduiyg0jr&amp;dl=0","Click to download Image")</f>
      </c>
      <c r="C534" s="0" t="inlineStr">
        <is>
          <t>Fielder Toddler Hoodie</t>
        </is>
      </c>
      <c r="D534" s="1">
        <v>132471</v>
      </c>
      <c r="E534" s="0" t="inlineStr">
        <is>
          <t>IOWA FIELDE T BC:132471B-3T</t>
        </is>
      </c>
      <c r="F534" s="2">
        <v>800132471095</v>
      </c>
      <c r="G534" s="0" t="inlineStr">
        <is>
          <t>TODDLER</t>
        </is>
      </c>
      <c r="H534" s="0" t="inlineStr">
        <is>
          <t>3T</t>
        </is>
      </c>
      <c r="I534" s="0">
        <v>59.99</v>
      </c>
      <c r="J534" s="0">
        <v>0</v>
      </c>
    </row>
    <row r="535" spans="1:10" customHeight="0">
      <c r="A535" s="0">
        <f>HYPERLINK("https://dl.dropboxusercontent.com/scl/fi/y62z35nqqtc1su65kpbuc/fielder-132470-f.jpg?rlkey=f4vu0cdffrcd4w5vzduiyg0jr&amp;dl=0","Click to download Image")</f>
      </c>
      <c r="C535" s="0" t="inlineStr">
        <is>
          <t>Fielder Toddler Hoodie</t>
        </is>
      </c>
      <c r="D535" s="1">
        <v>132471</v>
      </c>
      <c r="E535" s="0" t="inlineStr">
        <is>
          <t>IOWA FIELDE T BC:132471C-4T</t>
        </is>
      </c>
      <c r="F535" s="2">
        <v>800132471101</v>
      </c>
      <c r="G535" s="0" t="inlineStr">
        <is>
          <t>TODDLER</t>
        </is>
      </c>
      <c r="H535" s="0" t="inlineStr">
        <is>
          <t>4T</t>
        </is>
      </c>
      <c r="I535" s="0">
        <v>59.99</v>
      </c>
      <c r="J535" s="0">
        <v>3</v>
      </c>
    </row>
    <row r="536" spans="1:10" customHeight="0">
      <c r="A536" s="0">
        <f>HYPERLINK("https://dl.dropboxusercontent.com/scl/fi/y62z35nqqtc1su65kpbuc/fielder-132470-f.jpg?rlkey=f4vu0cdffrcd4w5vzduiyg0jr&amp;dl=0","Click to download Image")</f>
      </c>
      <c r="C536" s="0" t="inlineStr">
        <is>
          <t>Fielder Toddler Hoodie</t>
        </is>
      </c>
      <c r="D536" s="1">
        <v>132471</v>
      </c>
      <c r="E536" s="0" t="inlineStr">
        <is>
          <t>IOWA FIELDE T BC:132471D-5T</t>
        </is>
      </c>
      <c r="F536" s="2">
        <v>800132471118</v>
      </c>
      <c r="G536" s="0" t="inlineStr">
        <is>
          <t>TODDLER</t>
        </is>
      </c>
      <c r="H536" s="0" t="inlineStr">
        <is>
          <t>5T</t>
        </is>
      </c>
      <c r="I536" s="0">
        <v>59.99</v>
      </c>
      <c r="J536" s="0">
        <v>0</v>
      </c>
    </row>
    <row r="537" spans="1:10" customHeight="0">
      <c r="A537" s="0">
        <f>HYPERLINK("https://dl.dropboxusercontent.com/scl/fi/y62z35nqqtc1su65kpbuc/fielder-132470-f.jpg?rlkey=f4vu0cdffrcd4w5vzduiyg0jr&amp;dl=0","Click to download Image")</f>
      </c>
      <c r="C537" s="0" t="inlineStr">
        <is>
          <t>Fielder Toddler Hoodie</t>
        </is>
      </c>
      <c r="D537" s="1">
        <v>132471</v>
      </c>
      <c r="E537" s="0" t="inlineStr">
        <is>
          <t>IOWA FIELDE T BC:132471Z-12PK</t>
        </is>
      </c>
      <c r="F537" s="2">
        <v>800132471996</v>
      </c>
      <c r="G537" s="0" t="inlineStr">
        <is>
          <t>TODDLER</t>
        </is>
      </c>
      <c r="H537" s="0" t="inlineStr">
        <is>
          <t>12 PACK</t>
        </is>
      </c>
      <c r="I537" s="0">
        <v>528</v>
      </c>
      <c r="J537" s="0">
        <v>0</v>
      </c>
    </row>
    <row r="538" spans="1:10" customHeight="0">
      <c r="A538" s="0">
        <f>HYPERLINK("https://dl.dropboxusercontent.com/scl/fi/jl9mgmoxhznwztg9nlqb9/jaxon-151519-tn.jpg?rlkey=zucfkbj7cd7y0qfa7aabi72i6&amp;dl=0","Click to download Image")</f>
      </c>
      <c r="C538" s="0" t="inlineStr">
        <is>
          <t>Jaxon Youth Short Sleeve Shirt</t>
        </is>
      </c>
      <c r="D538" s="1">
        <v>151519</v>
      </c>
      <c r="E538" s="0" t="inlineStr">
        <is>
          <t>IOWA JAXON Y BC:151519B-YS</t>
        </is>
      </c>
      <c r="F538" s="2">
        <v>800151519013</v>
      </c>
      <c r="G538" s="0" t="inlineStr">
        <is>
          <t>YOUTH</t>
        </is>
      </c>
      <c r="H538" s="0" t="inlineStr">
        <is>
          <t>YS</t>
        </is>
      </c>
      <c r="I538" s="0">
        <v>29.99</v>
      </c>
      <c r="J538" s="0">
        <v>0</v>
      </c>
    </row>
    <row r="539" spans="1:10" customHeight="0">
      <c r="A539" s="0">
        <f>HYPERLINK("https://dl.dropboxusercontent.com/scl/fi/jl9mgmoxhznwztg9nlqb9/jaxon-151519-tn.jpg?rlkey=zucfkbj7cd7y0qfa7aabi72i6&amp;dl=0","Click to download Image")</f>
      </c>
      <c r="C539" s="0" t="inlineStr">
        <is>
          <t>Jaxon Youth Short Sleeve Shirt</t>
        </is>
      </c>
      <c r="D539" s="1">
        <v>151519</v>
      </c>
      <c r="E539" s="0" t="inlineStr">
        <is>
          <t>IOWA JAXON Y BC:151519C-YM</t>
        </is>
      </c>
      <c r="F539" s="2">
        <v>800151519020</v>
      </c>
      <c r="G539" s="0" t="inlineStr">
        <is>
          <t>YOUTH</t>
        </is>
      </c>
      <c r="H539" s="0" t="inlineStr">
        <is>
          <t>YM</t>
        </is>
      </c>
      <c r="I539" s="0">
        <v>29.99</v>
      </c>
      <c r="J539" s="0">
        <v>1</v>
      </c>
    </row>
    <row r="540" spans="1:10" customHeight="0">
      <c r="A540" s="0">
        <f>HYPERLINK("https://dl.dropboxusercontent.com/scl/fi/jl9mgmoxhznwztg9nlqb9/jaxon-151519-tn.jpg?rlkey=zucfkbj7cd7y0qfa7aabi72i6&amp;dl=0","Click to download Image")</f>
      </c>
      <c r="C540" s="0" t="inlineStr">
        <is>
          <t>Jaxon Youth Short Sleeve Shirt</t>
        </is>
      </c>
      <c r="D540" s="1">
        <v>151519</v>
      </c>
      <c r="E540" s="0" t="inlineStr">
        <is>
          <t>IOWA JAXON Y BC:151519D-YL</t>
        </is>
      </c>
      <c r="F540" s="2">
        <v>800151519037</v>
      </c>
      <c r="G540" s="0" t="inlineStr">
        <is>
          <t>YOUTH</t>
        </is>
      </c>
      <c r="H540" s="0" t="inlineStr">
        <is>
          <t>YL</t>
        </is>
      </c>
      <c r="I540" s="0">
        <v>29.99</v>
      </c>
      <c r="J540" s="0">
        <v>1</v>
      </c>
    </row>
    <row r="541" spans="1:10" customHeight="0">
      <c r="A541" s="0">
        <f>HYPERLINK("https://dl.dropboxusercontent.com/scl/fi/jl9mgmoxhznwztg9nlqb9/jaxon-151519-tn.jpg?rlkey=zucfkbj7cd7y0qfa7aabi72i6&amp;dl=0","Click to download Image")</f>
      </c>
      <c r="C541" s="0" t="inlineStr">
        <is>
          <t>Jaxon Youth Short Sleeve Shirt</t>
        </is>
      </c>
      <c r="D541" s="1">
        <v>151519</v>
      </c>
      <c r="E541" s="0" t="inlineStr">
        <is>
          <t>IOWA JAXON Y BC:151519E-YXL</t>
        </is>
      </c>
      <c r="F541" s="2">
        <v>800151519044</v>
      </c>
      <c r="G541" s="0" t="inlineStr">
        <is>
          <t>YOUTH</t>
        </is>
      </c>
      <c r="H541" s="0" t="inlineStr">
        <is>
          <t>YXL</t>
        </is>
      </c>
      <c r="I541" s="0">
        <v>29.99</v>
      </c>
      <c r="J541" s="0">
        <v>2</v>
      </c>
    </row>
    <row r="542" spans="1:10" customHeight="0">
      <c r="A542" s="0">
        <f>HYPERLINK("https://dl.dropboxusercontent.com/scl/fi/jl9mgmoxhznwztg9nlqb9/jaxon-151519-tn.jpg?rlkey=zucfkbj7cd7y0qfa7aabi72i6&amp;dl=0","Click to download Image")</f>
      </c>
      <c r="C542" s="0" t="inlineStr">
        <is>
          <t>Jaxon Youth Short Sleeve Shirt</t>
        </is>
      </c>
      <c r="D542" s="1">
        <v>151519</v>
      </c>
      <c r="E542" s="0" t="inlineStr">
        <is>
          <t>IOWA JAXON Y BC:151519Z-12PK</t>
        </is>
      </c>
      <c r="F542" s="2">
        <v>800151519990</v>
      </c>
      <c r="G542" s="0" t="inlineStr">
        <is>
          <t>YOUTH</t>
        </is>
      </c>
      <c r="H542" s="0" t="inlineStr">
        <is>
          <t>12 PACK</t>
        </is>
      </c>
      <c r="I542" s="0">
        <v>288</v>
      </c>
      <c r="J542" s="0">
        <v>0</v>
      </c>
    </row>
    <row r="543" spans="1:10" customHeight="0">
      <c r="A543" s="0">
        <f>HYPERLINK("https://dl.dropboxusercontent.com/scl/fi/lg8lvqj4j5mq3o55aasxs/jaxon-151519-tn.jpg?rlkey=ir8xv2qck0dac5lpq3m8ph1lo&amp;dl=0","Click to download Image")</f>
      </c>
      <c r="C543" s="0" t="inlineStr">
        <is>
          <t>Jaxon Toddler Short Sleeve Shirt</t>
        </is>
      </c>
      <c r="D543" s="1">
        <v>151965</v>
      </c>
      <c r="E543" s="0" t="inlineStr">
        <is>
          <t>IOWA JAXON T BC:151965A-2T</t>
        </is>
      </c>
      <c r="F543" s="2">
        <v>800151965087</v>
      </c>
      <c r="G543" s="0" t="inlineStr">
        <is>
          <t>TODDLER</t>
        </is>
      </c>
      <c r="H543" s="0" t="inlineStr">
        <is>
          <t>2T</t>
        </is>
      </c>
      <c r="I543" s="0">
        <v>29.99</v>
      </c>
      <c r="J543" s="0">
        <v>6</v>
      </c>
    </row>
    <row r="544" spans="1:10" customHeight="0">
      <c r="A544" s="0">
        <f>HYPERLINK("https://dl.dropboxusercontent.com/scl/fi/lg8lvqj4j5mq3o55aasxs/jaxon-151519-tn.jpg?rlkey=ir8xv2qck0dac5lpq3m8ph1lo&amp;dl=0","Click to download Image")</f>
      </c>
      <c r="C544" s="0" t="inlineStr">
        <is>
          <t>Jaxon Toddler Short Sleeve Shirt</t>
        </is>
      </c>
      <c r="D544" s="1">
        <v>151965</v>
      </c>
      <c r="E544" s="0" t="inlineStr">
        <is>
          <t>IOWA JAXON T BC:151965B-3T</t>
        </is>
      </c>
      <c r="F544" s="2">
        <v>800151965094</v>
      </c>
      <c r="G544" s="0" t="inlineStr">
        <is>
          <t>TODDLER</t>
        </is>
      </c>
      <c r="H544" s="0" t="inlineStr">
        <is>
          <t>3T</t>
        </is>
      </c>
      <c r="I544" s="0">
        <v>29.99</v>
      </c>
      <c r="J544" s="0">
        <v>6</v>
      </c>
    </row>
    <row r="545" spans="1:10" customHeight="0">
      <c r="A545" s="0">
        <f>HYPERLINK("https://dl.dropboxusercontent.com/scl/fi/lg8lvqj4j5mq3o55aasxs/jaxon-151519-tn.jpg?rlkey=ir8xv2qck0dac5lpq3m8ph1lo&amp;dl=0","Click to download Image")</f>
      </c>
      <c r="C545" s="0" t="inlineStr">
        <is>
          <t>Jaxon Toddler Short Sleeve Shirt</t>
        </is>
      </c>
      <c r="D545" s="1">
        <v>151965</v>
      </c>
      <c r="E545" s="0" t="inlineStr">
        <is>
          <t>IOWA JAXON T BC:151965C-4T</t>
        </is>
      </c>
      <c r="F545" s="2">
        <v>800151965100</v>
      </c>
      <c r="G545" s="0" t="inlineStr">
        <is>
          <t>TODDLER</t>
        </is>
      </c>
      <c r="H545" s="0" t="inlineStr">
        <is>
          <t>4T</t>
        </is>
      </c>
      <c r="I545" s="0">
        <v>29.99</v>
      </c>
      <c r="J545" s="0">
        <v>6</v>
      </c>
    </row>
    <row r="546" spans="1:10" customHeight="0">
      <c r="A546" s="0">
        <f>HYPERLINK("https://dl.dropboxusercontent.com/scl/fi/lg8lvqj4j5mq3o55aasxs/jaxon-151519-tn.jpg?rlkey=ir8xv2qck0dac5lpq3m8ph1lo&amp;dl=0","Click to download Image")</f>
      </c>
      <c r="C546" s="0" t="inlineStr">
        <is>
          <t>Jaxon Toddler Short Sleeve Shirt</t>
        </is>
      </c>
      <c r="D546" s="1">
        <v>151965</v>
      </c>
      <c r="E546" s="0" t="inlineStr">
        <is>
          <t>IOWA JAXON T BC:151965D-5T</t>
        </is>
      </c>
      <c r="F546" s="2">
        <v>800151965117</v>
      </c>
      <c r="G546" s="0" t="inlineStr">
        <is>
          <t>TODDLER</t>
        </is>
      </c>
      <c r="H546" s="0" t="inlineStr">
        <is>
          <t>5T</t>
        </is>
      </c>
      <c r="I546" s="0">
        <v>29.99</v>
      </c>
      <c r="J546" s="0">
        <v>5</v>
      </c>
    </row>
    <row r="547" spans="1:10" customHeight="0">
      <c r="A547" s="0">
        <f>HYPERLINK("https://dl.dropboxusercontent.com/scl/fi/lg8lvqj4j5mq3o55aasxs/jaxon-151519-tn.jpg?rlkey=ir8xv2qck0dac5lpq3m8ph1lo&amp;dl=0","Click to download Image")</f>
      </c>
      <c r="C547" s="0" t="inlineStr">
        <is>
          <t>Jaxon Toddler Short Sleeve Shirt</t>
        </is>
      </c>
      <c r="D547" s="1">
        <v>151965</v>
      </c>
      <c r="E547" s="0" t="inlineStr">
        <is>
          <t>IOWA JAXON T BC:151965Z-12PK</t>
        </is>
      </c>
      <c r="F547" s="2">
        <v>800151965988</v>
      </c>
      <c r="G547" s="0" t="inlineStr">
        <is>
          <t>TODDLER</t>
        </is>
      </c>
      <c r="H547" s="0" t="inlineStr">
        <is>
          <t>12 PACK</t>
        </is>
      </c>
      <c r="I547" s="0">
        <v>288</v>
      </c>
      <c r="J547" s="0">
        <v>0</v>
      </c>
    </row>
    <row r="548" spans="1:10" customHeight="0">
      <c r="A548" s="0">
        <f>HYPERLINK("https://dl.dropboxusercontent.com/scl/fi/0olwoc06fll3egi1we5nr/iker-150663-tn.jpg?rlkey=e52ghi20kt8tppwudgg1wkhxc&amp;dl=0","Click to download Image")</f>
      </c>
      <c r="C548" s="0" t="inlineStr">
        <is>
          <t>Iker Infant Jumpsuit</t>
        </is>
      </c>
      <c r="D548" s="1">
        <v>150663</v>
      </c>
      <c r="E548" s="0" t="inlineStr">
        <is>
          <t>IOWA IKER I BK:150663A-0-3M</t>
        </is>
      </c>
      <c r="F548" s="2">
        <v>800150663007</v>
      </c>
      <c r="G548" s="0" t="inlineStr">
        <is>
          <t>INFANT</t>
        </is>
      </c>
      <c r="H548" s="0" t="inlineStr">
        <is>
          <t>0-3M</t>
        </is>
      </c>
      <c r="I548" s="0">
        <v>29.99</v>
      </c>
      <c r="J548" s="0">
        <v>0</v>
      </c>
    </row>
    <row r="549" spans="1:10" customHeight="0">
      <c r="A549" s="0">
        <f>HYPERLINK("https://dl.dropboxusercontent.com/scl/fi/0olwoc06fll3egi1we5nr/iker-150663-tn.jpg?rlkey=e52ghi20kt8tppwudgg1wkhxc&amp;dl=0","Click to download Image")</f>
      </c>
      <c r="C549" s="0" t="inlineStr">
        <is>
          <t>Iker Infant Jumpsuit</t>
        </is>
      </c>
      <c r="D549" s="1">
        <v>150663</v>
      </c>
      <c r="E549" s="0" t="inlineStr">
        <is>
          <t>IOWA IKER I BK:150663B-3-6M</t>
        </is>
      </c>
      <c r="F549" s="2">
        <v>800150663014</v>
      </c>
      <c r="G549" s="0" t="inlineStr">
        <is>
          <t>INFANT</t>
        </is>
      </c>
      <c r="H549" s="0" t="inlineStr">
        <is>
          <t>3-6M</t>
        </is>
      </c>
      <c r="I549" s="0">
        <v>29.99</v>
      </c>
      <c r="J549" s="0">
        <v>0</v>
      </c>
    </row>
    <row r="550" spans="1:10" customHeight="0">
      <c r="A550" s="0">
        <f>HYPERLINK("https://dl.dropboxusercontent.com/scl/fi/0olwoc06fll3egi1we5nr/iker-150663-tn.jpg?rlkey=e52ghi20kt8tppwudgg1wkhxc&amp;dl=0","Click to download Image")</f>
      </c>
      <c r="C550" s="0" t="inlineStr">
        <is>
          <t>Iker Infant Jumpsuit</t>
        </is>
      </c>
      <c r="D550" s="1">
        <v>150663</v>
      </c>
      <c r="E550" s="0" t="inlineStr">
        <is>
          <t>IOWA IKER I BK:150663C-6-9M</t>
        </is>
      </c>
      <c r="F550" s="2">
        <v>800150663021</v>
      </c>
      <c r="G550" s="0" t="inlineStr">
        <is>
          <t>INFANT</t>
        </is>
      </c>
      <c r="H550" s="0" t="inlineStr">
        <is>
          <t>6-9M</t>
        </is>
      </c>
      <c r="I550" s="0">
        <v>29.99</v>
      </c>
      <c r="J550" s="0">
        <v>1</v>
      </c>
    </row>
    <row r="551" spans="1:10" customHeight="0">
      <c r="A551" s="0">
        <f>HYPERLINK("https://dl.dropboxusercontent.com/scl/fi/0olwoc06fll3egi1we5nr/iker-150663-tn.jpg?rlkey=e52ghi20kt8tppwudgg1wkhxc&amp;dl=0","Click to download Image")</f>
      </c>
      <c r="C551" s="0" t="inlineStr">
        <is>
          <t>Iker Infant Jumpsuit</t>
        </is>
      </c>
      <c r="D551" s="1">
        <v>150663</v>
      </c>
      <c r="E551" s="0" t="inlineStr">
        <is>
          <t>IOWA IKER I BK:150663F-12M</t>
        </is>
      </c>
      <c r="F551" s="2">
        <v>800150663038</v>
      </c>
      <c r="G551" s="0" t="inlineStr">
        <is>
          <t>INFANT</t>
        </is>
      </c>
      <c r="H551" s="0" t="inlineStr">
        <is>
          <t>12M</t>
        </is>
      </c>
      <c r="I551" s="0">
        <v>29.99</v>
      </c>
      <c r="J551" s="0">
        <v>0</v>
      </c>
    </row>
    <row r="552" spans="1:10" customHeight="0">
      <c r="A552" s="0">
        <f>HYPERLINK("https://dl.dropboxusercontent.com/scl/fi/0olwoc06fll3egi1we5nr/iker-150663-tn.jpg?rlkey=e52ghi20kt8tppwudgg1wkhxc&amp;dl=0","Click to download Image")</f>
      </c>
      <c r="C552" s="0" t="inlineStr">
        <is>
          <t>Iker Infant Jumpsuit</t>
        </is>
      </c>
      <c r="D552" s="1">
        <v>150663</v>
      </c>
      <c r="E552" s="0" t="inlineStr">
        <is>
          <t>IOWA IKER I BK:150663Z-12PK</t>
        </is>
      </c>
      <c r="F552" s="2">
        <v>800150663977</v>
      </c>
      <c r="G552" s="0" t="inlineStr">
        <is>
          <t>INFANT</t>
        </is>
      </c>
      <c r="H552" s="0" t="inlineStr">
        <is>
          <t>12 PACK</t>
        </is>
      </c>
      <c r="I552" s="0">
        <v>288</v>
      </c>
      <c r="J552" s="0">
        <v>0</v>
      </c>
    </row>
    <row r="553" spans="1:10" customHeight="0">
      <c r="A553" s="0">
        <f>HYPERLINK("https://dl.dropboxusercontent.com/scl/fi/q4lvjw2wdxi5nwdqv0ptn/summit-151597-tn.jpg?rlkey=n8insyjo3xfxotspbyktef56n&amp;dl=0","Click to download Image")</f>
      </c>
      <c r="B553" s="0">
        <f>HYPERLINK("https://dl.dropboxusercontent.com/scl/fi/9jqczxn1hnwmjj7jn4070/mens-pullover-size-chartssummit.jpg?rlkey=olxg9hazegr3hvfy80cdzpscy&amp;dl=0","Click to download SizeChart")</f>
      </c>
      <c r="C553" s="0" t="inlineStr">
        <is>
          <t>Summit Men's Pullover</t>
        </is>
      </c>
      <c r="D553" s="1">
        <v>151597</v>
      </c>
      <c r="E553" s="0" t="inlineStr">
        <is>
          <t>IOWA SUMMIT M DG:151597A-S</t>
        </is>
      </c>
      <c r="F553" s="2">
        <v>800151597042</v>
      </c>
      <c r="G553" s="0" t="inlineStr">
        <is>
          <t>MENS</t>
        </is>
      </c>
      <c r="H553" s="0" t="inlineStr">
        <is>
          <t>S</t>
        </is>
      </c>
      <c r="I553" s="0">
        <v>59.99</v>
      </c>
      <c r="J553" s="0">
        <v>2</v>
      </c>
    </row>
    <row r="554" spans="1:10" customHeight="0">
      <c r="A554" s="0">
        <f>HYPERLINK("https://dl.dropboxusercontent.com/scl/fi/q4lvjw2wdxi5nwdqv0ptn/summit-151597-tn.jpg?rlkey=n8insyjo3xfxotspbyktef56n&amp;dl=0","Click to download Image")</f>
      </c>
      <c r="B554" s="0">
        <f>HYPERLINK("https://dl.dropboxusercontent.com/scl/fi/9jqczxn1hnwmjj7jn4070/mens-pullover-size-chartssummit.jpg?rlkey=olxg9hazegr3hvfy80cdzpscy&amp;dl=0","Click to download SizeChart")</f>
      </c>
      <c r="C554" s="0" t="inlineStr">
        <is>
          <t>Summit Men's Pullover</t>
        </is>
      </c>
      <c r="D554" s="1">
        <v>151597</v>
      </c>
      <c r="E554" s="0" t="inlineStr">
        <is>
          <t>IOWA SUMMIT M DG:151597B-M</t>
        </is>
      </c>
      <c r="F554" s="2">
        <v>800151597059</v>
      </c>
      <c r="G554" s="0" t="inlineStr">
        <is>
          <t>MENS</t>
        </is>
      </c>
      <c r="H554" s="0" t="inlineStr">
        <is>
          <t>M</t>
        </is>
      </c>
      <c r="I554" s="0">
        <v>59.99</v>
      </c>
      <c r="J554" s="0">
        <v>1</v>
      </c>
    </row>
    <row r="555" spans="1:10" customHeight="0">
      <c r="A555" s="0">
        <f>HYPERLINK("https://dl.dropboxusercontent.com/scl/fi/q4lvjw2wdxi5nwdqv0ptn/summit-151597-tn.jpg?rlkey=n8insyjo3xfxotspbyktef56n&amp;dl=0","Click to download Image")</f>
      </c>
      <c r="B555" s="0">
        <f>HYPERLINK("https://dl.dropboxusercontent.com/scl/fi/9jqczxn1hnwmjj7jn4070/mens-pullover-size-chartssummit.jpg?rlkey=olxg9hazegr3hvfy80cdzpscy&amp;dl=0","Click to download SizeChart")</f>
      </c>
      <c r="C555" s="0" t="inlineStr">
        <is>
          <t>Summit Men's Pullover</t>
        </is>
      </c>
      <c r="D555" s="1">
        <v>151597</v>
      </c>
      <c r="E555" s="0" t="inlineStr">
        <is>
          <t>IOWA SUMMIT M DG:151597C-L</t>
        </is>
      </c>
      <c r="F555" s="2">
        <v>800151597066</v>
      </c>
      <c r="G555" s="0" t="inlineStr">
        <is>
          <t>MENS</t>
        </is>
      </c>
      <c r="H555" s="0" t="inlineStr">
        <is>
          <t>L</t>
        </is>
      </c>
      <c r="I555" s="0">
        <v>59.99</v>
      </c>
      <c r="J555" s="0">
        <v>2</v>
      </c>
    </row>
    <row r="556" spans="1:10" customHeight="0">
      <c r="A556" s="0">
        <f>HYPERLINK("https://dl.dropboxusercontent.com/scl/fi/q4lvjw2wdxi5nwdqv0ptn/summit-151597-tn.jpg?rlkey=n8insyjo3xfxotspbyktef56n&amp;dl=0","Click to download Image")</f>
      </c>
      <c r="B556" s="0">
        <f>HYPERLINK("https://dl.dropboxusercontent.com/scl/fi/9jqczxn1hnwmjj7jn4070/mens-pullover-size-chartssummit.jpg?rlkey=olxg9hazegr3hvfy80cdzpscy&amp;dl=0","Click to download SizeChart")</f>
      </c>
      <c r="C556" s="0" t="inlineStr">
        <is>
          <t>Summit Men's Pullover</t>
        </is>
      </c>
      <c r="D556" s="1">
        <v>151597</v>
      </c>
      <c r="E556" s="0" t="inlineStr">
        <is>
          <t>IOWA SUMMIT M DG:151597D-XL</t>
        </is>
      </c>
      <c r="F556" s="2">
        <v>800151597073</v>
      </c>
      <c r="G556" s="0" t="inlineStr">
        <is>
          <t>MENS</t>
        </is>
      </c>
      <c r="H556" s="0" t="inlineStr">
        <is>
          <t>XL</t>
        </is>
      </c>
      <c r="I556" s="0">
        <v>59.99</v>
      </c>
      <c r="J556" s="0">
        <v>1</v>
      </c>
    </row>
    <row r="557" spans="1:10" customHeight="0">
      <c r="A557" s="0">
        <f>HYPERLINK("https://dl.dropboxusercontent.com/scl/fi/q4lvjw2wdxi5nwdqv0ptn/summit-151597-tn.jpg?rlkey=n8insyjo3xfxotspbyktef56n&amp;dl=0","Click to download Image")</f>
      </c>
      <c r="B557" s="0">
        <f>HYPERLINK("https://dl.dropboxusercontent.com/scl/fi/9jqczxn1hnwmjj7jn4070/mens-pullover-size-chartssummit.jpg?rlkey=olxg9hazegr3hvfy80cdzpscy&amp;dl=0","Click to download SizeChart")</f>
      </c>
      <c r="C557" s="0" t="inlineStr">
        <is>
          <t>Summit Men's Pullover</t>
        </is>
      </c>
      <c r="D557" s="1">
        <v>151597</v>
      </c>
      <c r="E557" s="0" t="inlineStr">
        <is>
          <t>IOWA SUMMIT M DG:151597E-2XL</t>
        </is>
      </c>
      <c r="F557" s="2">
        <v>800151597080</v>
      </c>
      <c r="G557" s="0" t="inlineStr">
        <is>
          <t>MENS</t>
        </is>
      </c>
      <c r="H557" s="0" t="inlineStr">
        <is>
          <t>2XL</t>
        </is>
      </c>
      <c r="I557" s="0">
        <v>59.99</v>
      </c>
      <c r="J557" s="0">
        <v>0</v>
      </c>
    </row>
    <row r="558" spans="1:10" customHeight="0">
      <c r="A558" s="0">
        <f>HYPERLINK("https://dl.dropboxusercontent.com/scl/fi/q4lvjw2wdxi5nwdqv0ptn/summit-151597-tn.jpg?rlkey=n8insyjo3xfxotspbyktef56n&amp;dl=0","Click to download Image")</f>
      </c>
      <c r="B558" s="0">
        <f>HYPERLINK("https://dl.dropboxusercontent.com/scl/fi/9jqczxn1hnwmjj7jn4070/mens-pullover-size-chartssummit.jpg?rlkey=olxg9hazegr3hvfy80cdzpscy&amp;dl=0","Click to download SizeChart")</f>
      </c>
      <c r="C558" s="0" t="inlineStr">
        <is>
          <t>Summit Men's Pullover</t>
        </is>
      </c>
      <c r="D558" s="1">
        <v>151597</v>
      </c>
      <c r="E558" s="0" t="inlineStr">
        <is>
          <t>IOWA SUMMIT M DG:151597F-3XL</t>
        </is>
      </c>
      <c r="F558" s="2">
        <v>800151597097</v>
      </c>
      <c r="G558" s="0" t="inlineStr">
        <is>
          <t>MENS</t>
        </is>
      </c>
      <c r="H558" s="0" t="inlineStr">
        <is>
          <t>3XL</t>
        </is>
      </c>
      <c r="I558" s="0">
        <v>59.99</v>
      </c>
      <c r="J558" s="0">
        <v>2</v>
      </c>
    </row>
    <row r="559" spans="1:10" customHeight="0">
      <c r="A559" s="0">
        <f>HYPERLINK("https://dl.dropboxusercontent.com/scl/fi/q4lvjw2wdxi5nwdqv0ptn/summit-151597-tn.jpg?rlkey=n8insyjo3xfxotspbyktef56n&amp;dl=0","Click to download Image")</f>
      </c>
      <c r="B559" s="0">
        <f>HYPERLINK("https://dl.dropboxusercontent.com/scl/fi/9jqczxn1hnwmjj7jn4070/mens-pullover-size-chartssummit.jpg?rlkey=olxg9hazegr3hvfy80cdzpscy&amp;dl=0","Click to download SizeChart")</f>
      </c>
      <c r="C559" s="0" t="inlineStr">
        <is>
          <t>Summit Men's Pullover</t>
        </is>
      </c>
      <c r="D559" s="1">
        <v>151597</v>
      </c>
      <c r="E559" s="0" t="inlineStr">
        <is>
          <t>IOWA SUMMIT M DG:151597Z-12PK</t>
        </is>
      </c>
      <c r="F559" s="2">
        <v>800151597998</v>
      </c>
      <c r="G559" s="0" t="inlineStr">
        <is>
          <t>MENS</t>
        </is>
      </c>
      <c r="H559" s="0" t="inlineStr">
        <is>
          <t>12 PACK</t>
        </is>
      </c>
      <c r="I559" s="0">
        <v>582</v>
      </c>
      <c r="J559" s="0">
        <v>0</v>
      </c>
    </row>
    <row r="560" spans="1:10" customHeight="0">
      <c r="A560" s="0">
        <f>HYPERLINK("https://dl.dropboxusercontent.com/scl/fi/svkwizrtkmdj47m60iezu/fleet-150832-tn.jpg?rlkey=ztmj22dy4ftixy0s8qq5tkyw6&amp;dl=0","Click to download Image")</f>
      </c>
      <c r="B560" s="0">
        <f>HYPERLINK("https://dl.dropboxusercontent.com/scl/fi/5vt7gg8pqsmwjazpkc6ql/mens-polo-size-chartsfleet.jpg?rlkey=ylatxj7dbqcy12jsfhyq4m2rn&amp;dl=0","Click to download SizeChart")</f>
      </c>
      <c r="C560" s="0" t="inlineStr">
        <is>
          <t>Fleet Men's Polo</t>
        </is>
      </c>
      <c r="D560" s="1">
        <v>150832</v>
      </c>
      <c r="E560" s="0" t="inlineStr">
        <is>
          <t>IOWA FLEET M BK:150832A-S</t>
        </is>
      </c>
      <c r="F560" s="2">
        <v>800150832045</v>
      </c>
      <c r="G560" s="0" t="inlineStr">
        <is>
          <t>MENS</t>
        </is>
      </c>
      <c r="H560" s="0" t="inlineStr">
        <is>
          <t>S</t>
        </is>
      </c>
      <c r="I560" s="0">
        <v>54.99</v>
      </c>
      <c r="J560" s="0">
        <v>1</v>
      </c>
    </row>
    <row r="561" spans="1:10" customHeight="0">
      <c r="A561" s="0">
        <f>HYPERLINK("https://dl.dropboxusercontent.com/scl/fi/svkwizrtkmdj47m60iezu/fleet-150832-tn.jpg?rlkey=ztmj22dy4ftixy0s8qq5tkyw6&amp;dl=0","Click to download Image")</f>
      </c>
      <c r="B561" s="0">
        <f>HYPERLINK("https://dl.dropboxusercontent.com/scl/fi/5vt7gg8pqsmwjazpkc6ql/mens-polo-size-chartsfleet.jpg?rlkey=ylatxj7dbqcy12jsfhyq4m2rn&amp;dl=0","Click to download SizeChart")</f>
      </c>
      <c r="C561" s="0" t="inlineStr">
        <is>
          <t>Fleet Men's Polo</t>
        </is>
      </c>
      <c r="D561" s="1">
        <v>150832</v>
      </c>
      <c r="E561" s="0" t="inlineStr">
        <is>
          <t>IOWA FLEET M BK:150832B-M</t>
        </is>
      </c>
      <c r="F561" s="2">
        <v>800150832052</v>
      </c>
      <c r="G561" s="0" t="inlineStr">
        <is>
          <t>MENS</t>
        </is>
      </c>
      <c r="H561" s="0" t="inlineStr">
        <is>
          <t>M</t>
        </is>
      </c>
      <c r="I561" s="0">
        <v>54.99</v>
      </c>
      <c r="J561" s="0">
        <v>1</v>
      </c>
    </row>
    <row r="562" spans="1:10" customHeight="0">
      <c r="A562" s="0">
        <f>HYPERLINK("https://dl.dropboxusercontent.com/scl/fi/svkwizrtkmdj47m60iezu/fleet-150832-tn.jpg?rlkey=ztmj22dy4ftixy0s8qq5tkyw6&amp;dl=0","Click to download Image")</f>
      </c>
      <c r="B562" s="0">
        <f>HYPERLINK("https://dl.dropboxusercontent.com/scl/fi/5vt7gg8pqsmwjazpkc6ql/mens-polo-size-chartsfleet.jpg?rlkey=ylatxj7dbqcy12jsfhyq4m2rn&amp;dl=0","Click to download SizeChart")</f>
      </c>
      <c r="C562" s="0" t="inlineStr">
        <is>
          <t>Fleet Men's Polo</t>
        </is>
      </c>
      <c r="D562" s="1">
        <v>150832</v>
      </c>
      <c r="E562" s="0" t="inlineStr">
        <is>
          <t>IOWA FLEET M BK:150832C-L</t>
        </is>
      </c>
      <c r="F562" s="2">
        <v>800150832069</v>
      </c>
      <c r="G562" s="0" t="inlineStr">
        <is>
          <t>MENS</t>
        </is>
      </c>
      <c r="H562" s="0" t="inlineStr">
        <is>
          <t>L</t>
        </is>
      </c>
      <c r="I562" s="0">
        <v>54.99</v>
      </c>
      <c r="J562" s="0">
        <v>0</v>
      </c>
    </row>
    <row r="563" spans="1:10" customHeight="0">
      <c r="A563" s="0">
        <f>HYPERLINK("https://dl.dropboxusercontent.com/scl/fi/svkwizrtkmdj47m60iezu/fleet-150832-tn.jpg?rlkey=ztmj22dy4ftixy0s8qq5tkyw6&amp;dl=0","Click to download Image")</f>
      </c>
      <c r="B563" s="0">
        <f>HYPERLINK("https://dl.dropboxusercontent.com/scl/fi/5vt7gg8pqsmwjazpkc6ql/mens-polo-size-chartsfleet.jpg?rlkey=ylatxj7dbqcy12jsfhyq4m2rn&amp;dl=0","Click to download SizeChart")</f>
      </c>
      <c r="C563" s="0" t="inlineStr">
        <is>
          <t>Fleet Men's Polo</t>
        </is>
      </c>
      <c r="D563" s="1">
        <v>150832</v>
      </c>
      <c r="E563" s="0" t="inlineStr">
        <is>
          <t>IOWA FLEET M BK:150832D-XL</t>
        </is>
      </c>
      <c r="F563" s="2">
        <v>800150832076</v>
      </c>
      <c r="G563" s="0" t="inlineStr">
        <is>
          <t>MENS</t>
        </is>
      </c>
      <c r="H563" s="0" t="inlineStr">
        <is>
          <t>XL</t>
        </is>
      </c>
      <c r="I563" s="0">
        <v>54.99</v>
      </c>
      <c r="J563" s="0">
        <v>3</v>
      </c>
    </row>
    <row r="564" spans="1:10" customHeight="0">
      <c r="A564" s="0">
        <f>HYPERLINK("https://dl.dropboxusercontent.com/scl/fi/svkwizrtkmdj47m60iezu/fleet-150832-tn.jpg?rlkey=ztmj22dy4ftixy0s8qq5tkyw6&amp;dl=0","Click to download Image")</f>
      </c>
      <c r="B564" s="0">
        <f>HYPERLINK("https://dl.dropboxusercontent.com/scl/fi/5vt7gg8pqsmwjazpkc6ql/mens-polo-size-chartsfleet.jpg?rlkey=ylatxj7dbqcy12jsfhyq4m2rn&amp;dl=0","Click to download SizeChart")</f>
      </c>
      <c r="C564" s="0" t="inlineStr">
        <is>
          <t>Fleet Men's Polo</t>
        </is>
      </c>
      <c r="D564" s="1">
        <v>150832</v>
      </c>
      <c r="E564" s="0" t="inlineStr">
        <is>
          <t>IOWA FLEET M BK:150832E-2XL</t>
        </is>
      </c>
      <c r="F564" s="2">
        <v>800150832083</v>
      </c>
      <c r="G564" s="0" t="inlineStr">
        <is>
          <t>MENS</t>
        </is>
      </c>
      <c r="H564" s="0" t="inlineStr">
        <is>
          <t>2XL</t>
        </is>
      </c>
      <c r="I564" s="0">
        <v>56.99</v>
      </c>
      <c r="J564" s="0">
        <v>0</v>
      </c>
    </row>
    <row r="565" spans="1:10" customHeight="0">
      <c r="A565" s="0">
        <f>HYPERLINK("https://dl.dropboxusercontent.com/scl/fi/svkwizrtkmdj47m60iezu/fleet-150832-tn.jpg?rlkey=ztmj22dy4ftixy0s8qq5tkyw6&amp;dl=0","Click to download Image")</f>
      </c>
      <c r="B565" s="0">
        <f>HYPERLINK("https://dl.dropboxusercontent.com/scl/fi/5vt7gg8pqsmwjazpkc6ql/mens-polo-size-chartsfleet.jpg?rlkey=ylatxj7dbqcy12jsfhyq4m2rn&amp;dl=0","Click to download SizeChart")</f>
      </c>
      <c r="C565" s="0" t="inlineStr">
        <is>
          <t>Fleet Men's Polo</t>
        </is>
      </c>
      <c r="D565" s="1">
        <v>150832</v>
      </c>
      <c r="E565" s="0" t="inlineStr">
        <is>
          <t>IOWA FLEET M BK:150832F-3XL</t>
        </is>
      </c>
      <c r="F565" s="2">
        <v>800150832090</v>
      </c>
      <c r="G565" s="0" t="inlineStr">
        <is>
          <t>MENS</t>
        </is>
      </c>
      <c r="H565" s="0" t="inlineStr">
        <is>
          <t>3XL</t>
        </is>
      </c>
      <c r="I565" s="0">
        <v>56.99</v>
      </c>
      <c r="J565" s="0">
        <v>2</v>
      </c>
    </row>
    <row r="566" spans="1:10" customHeight="0">
      <c r="A566" s="0">
        <f>HYPERLINK("https://dl.dropboxusercontent.com/scl/fi/svkwizrtkmdj47m60iezu/fleet-150832-tn.jpg?rlkey=ztmj22dy4ftixy0s8qq5tkyw6&amp;dl=0","Click to download Image")</f>
      </c>
      <c r="B566" s="0">
        <f>HYPERLINK("https://dl.dropboxusercontent.com/scl/fi/5vt7gg8pqsmwjazpkc6ql/mens-polo-size-chartsfleet.jpg?rlkey=ylatxj7dbqcy12jsfhyq4m2rn&amp;dl=0","Click to download SizeChart")</f>
      </c>
      <c r="C566" s="0" t="inlineStr">
        <is>
          <t>Fleet Men's Polo</t>
        </is>
      </c>
      <c r="D566" s="1">
        <v>150832</v>
      </c>
      <c r="E566" s="0" t="inlineStr">
        <is>
          <t>IOWA FLEET M BK:150832Z-12PK</t>
        </is>
      </c>
      <c r="F566" s="2">
        <v>800150832991</v>
      </c>
      <c r="G566" s="0" t="inlineStr">
        <is>
          <t>MENS</t>
        </is>
      </c>
      <c r="H566" s="0" t="inlineStr">
        <is>
          <t>12 PACK</t>
        </is>
      </c>
      <c r="I566" s="0">
        <v>534</v>
      </c>
      <c r="J566" s="0">
        <v>0</v>
      </c>
    </row>
    <row r="567" spans="1:10" customHeight="0">
      <c r="A567" s="0">
        <f>HYPERLINK("https://dl.dropboxusercontent.com/scl/fi/3l4xy6fx1ciqnqptflchx/mock-162446-iowa-fleet-m-we-v1-02.jpg?rlkey=h008xyojpwn05w9qccxnt5b0l&amp;dl=0","Click to download Image")</f>
      </c>
      <c r="B567" s="0">
        <f>HYPERLINK("https://dl.dropboxusercontent.com/scl/fi/5vt7gg8pqsmwjazpkc6ql/mens-polo-size-chartsfleet.jpg?rlkey=ylatxj7dbqcy12jsfhyq4m2rn&amp;dl=0","Click to download SizeChart")</f>
      </c>
      <c r="C567" s="0" t="inlineStr">
        <is>
          <t>Fleet Men's Polo</t>
        </is>
      </c>
      <c r="D567" s="1">
        <v>162446</v>
      </c>
      <c r="E567" s="0" t="inlineStr">
        <is>
          <t>IOWA FLEET M WE:162446A-S</t>
        </is>
      </c>
      <c r="F567" s="2">
        <v>800162446049</v>
      </c>
      <c r="G567" s="0" t="inlineStr">
        <is>
          <t>MENS</t>
        </is>
      </c>
      <c r="H567" s="0" t="inlineStr">
        <is>
          <t>S</t>
        </is>
      </c>
      <c r="I567" s="0">
        <v>54.99</v>
      </c>
      <c r="J567" s="0">
        <v>6</v>
      </c>
    </row>
    <row r="568" spans="1:10" customHeight="0">
      <c r="A568" s="0">
        <f>HYPERLINK("https://dl.dropboxusercontent.com/scl/fi/3l4xy6fx1ciqnqptflchx/mock-162446-iowa-fleet-m-we-v1-02.jpg?rlkey=h008xyojpwn05w9qccxnt5b0l&amp;dl=0","Click to download Image")</f>
      </c>
      <c r="B568" s="0">
        <f>HYPERLINK("https://dl.dropboxusercontent.com/scl/fi/5vt7gg8pqsmwjazpkc6ql/mens-polo-size-chartsfleet.jpg?rlkey=ylatxj7dbqcy12jsfhyq4m2rn&amp;dl=0","Click to download SizeChart")</f>
      </c>
      <c r="C568" s="0" t="inlineStr">
        <is>
          <t>Fleet Men's Polo</t>
        </is>
      </c>
      <c r="D568" s="1">
        <v>162446</v>
      </c>
      <c r="E568" s="0" t="inlineStr">
        <is>
          <t>IOWA FLEET M WE:162446B-M</t>
        </is>
      </c>
      <c r="F568" s="2">
        <v>800162446056</v>
      </c>
      <c r="G568" s="0" t="inlineStr">
        <is>
          <t>MENS</t>
        </is>
      </c>
      <c r="H568" s="0" t="inlineStr">
        <is>
          <t>M</t>
        </is>
      </c>
      <c r="I568" s="0">
        <v>54.99</v>
      </c>
      <c r="J568" s="0">
        <v>11</v>
      </c>
    </row>
    <row r="569" spans="1:10" customHeight="0">
      <c r="A569" s="0">
        <f>HYPERLINK("https://dl.dropboxusercontent.com/scl/fi/3l4xy6fx1ciqnqptflchx/mock-162446-iowa-fleet-m-we-v1-02.jpg?rlkey=h008xyojpwn05w9qccxnt5b0l&amp;dl=0","Click to download Image")</f>
      </c>
      <c r="B569" s="0">
        <f>HYPERLINK("https://dl.dropboxusercontent.com/scl/fi/5vt7gg8pqsmwjazpkc6ql/mens-polo-size-chartsfleet.jpg?rlkey=ylatxj7dbqcy12jsfhyq4m2rn&amp;dl=0","Click to download SizeChart")</f>
      </c>
      <c r="C569" s="0" t="inlineStr">
        <is>
          <t>Fleet Men's Polo</t>
        </is>
      </c>
      <c r="D569" s="1">
        <v>162446</v>
      </c>
      <c r="E569" s="0" t="inlineStr">
        <is>
          <t>IOWA FLEET M WE:162446C-L</t>
        </is>
      </c>
      <c r="F569" s="2">
        <v>800162446063</v>
      </c>
      <c r="G569" s="0" t="inlineStr">
        <is>
          <t>MENS</t>
        </is>
      </c>
      <c r="H569" s="0" t="inlineStr">
        <is>
          <t>L</t>
        </is>
      </c>
      <c r="I569" s="0">
        <v>54.99</v>
      </c>
      <c r="J569" s="0">
        <v>1</v>
      </c>
    </row>
    <row r="570" spans="1:10" customHeight="0">
      <c r="A570" s="0">
        <f>HYPERLINK("https://dl.dropboxusercontent.com/scl/fi/3l4xy6fx1ciqnqptflchx/mock-162446-iowa-fleet-m-we-v1-02.jpg?rlkey=h008xyojpwn05w9qccxnt5b0l&amp;dl=0","Click to download Image")</f>
      </c>
      <c r="B570" s="0">
        <f>HYPERLINK("https://dl.dropboxusercontent.com/scl/fi/5vt7gg8pqsmwjazpkc6ql/mens-polo-size-chartsfleet.jpg?rlkey=ylatxj7dbqcy12jsfhyq4m2rn&amp;dl=0","Click to download SizeChart")</f>
      </c>
      <c r="C570" s="0" t="inlineStr">
        <is>
          <t>Fleet Men's Polo</t>
        </is>
      </c>
      <c r="D570" s="1">
        <v>162446</v>
      </c>
      <c r="E570" s="0" t="inlineStr">
        <is>
          <t>IOWA FLEET M WE:162446D-XL</t>
        </is>
      </c>
      <c r="F570" s="2">
        <v>800162446070</v>
      </c>
      <c r="G570" s="0" t="inlineStr">
        <is>
          <t>MENS</t>
        </is>
      </c>
      <c r="H570" s="0" t="inlineStr">
        <is>
          <t>XL</t>
        </is>
      </c>
      <c r="I570" s="0">
        <v>54.99</v>
      </c>
      <c r="J570" s="0">
        <v>2</v>
      </c>
    </row>
    <row r="571" spans="1:10" customHeight="0">
      <c r="A571" s="0">
        <f>HYPERLINK("https://dl.dropboxusercontent.com/scl/fi/3l4xy6fx1ciqnqptflchx/mock-162446-iowa-fleet-m-we-v1-02.jpg?rlkey=h008xyojpwn05w9qccxnt5b0l&amp;dl=0","Click to download Image")</f>
      </c>
      <c r="B571" s="0">
        <f>HYPERLINK("https://dl.dropboxusercontent.com/scl/fi/5vt7gg8pqsmwjazpkc6ql/mens-polo-size-chartsfleet.jpg?rlkey=ylatxj7dbqcy12jsfhyq4m2rn&amp;dl=0","Click to download SizeChart")</f>
      </c>
      <c r="C571" s="0" t="inlineStr">
        <is>
          <t>Fleet Men's Polo</t>
        </is>
      </c>
      <c r="D571" s="1">
        <v>162446</v>
      </c>
      <c r="E571" s="0" t="inlineStr">
        <is>
          <t>IOWA FLEET M WE:162446E-2XL</t>
        </is>
      </c>
      <c r="F571" s="2">
        <v>800162446087</v>
      </c>
      <c r="G571" s="0" t="inlineStr">
        <is>
          <t>MENS</t>
        </is>
      </c>
      <c r="H571" s="0" t="inlineStr">
        <is>
          <t>2XL</t>
        </is>
      </c>
      <c r="I571" s="0">
        <v>56.99</v>
      </c>
      <c r="J571" s="0">
        <v>9</v>
      </c>
    </row>
    <row r="572" spans="1:10" customHeight="0">
      <c r="A572" s="0">
        <f>HYPERLINK("https://dl.dropboxusercontent.com/scl/fi/3l4xy6fx1ciqnqptflchx/mock-162446-iowa-fleet-m-we-v1-02.jpg?rlkey=h008xyojpwn05w9qccxnt5b0l&amp;dl=0","Click to download Image")</f>
      </c>
      <c r="B572" s="0">
        <f>HYPERLINK("https://dl.dropboxusercontent.com/scl/fi/5vt7gg8pqsmwjazpkc6ql/mens-polo-size-chartsfleet.jpg?rlkey=ylatxj7dbqcy12jsfhyq4m2rn&amp;dl=0","Click to download SizeChart")</f>
      </c>
      <c r="C572" s="0" t="inlineStr">
        <is>
          <t>Fleet Men's Polo</t>
        </is>
      </c>
      <c r="D572" s="1">
        <v>162446</v>
      </c>
      <c r="E572" s="0" t="inlineStr">
        <is>
          <t>IOWA FLEET M WE:162446F-3XL</t>
        </is>
      </c>
      <c r="F572" s="2">
        <v>800162446094</v>
      </c>
      <c r="G572" s="0" t="inlineStr">
        <is>
          <t>MENS</t>
        </is>
      </c>
      <c r="H572" s="0" t="inlineStr">
        <is>
          <t>3XL</t>
        </is>
      </c>
      <c r="I572" s="0">
        <v>56.99</v>
      </c>
      <c r="J572" s="0">
        <v>5</v>
      </c>
    </row>
    <row r="573" spans="1:10" customHeight="0">
      <c r="A573" s="0">
        <f>HYPERLINK("https://dl.dropboxusercontent.com/scl/fi/7ks2w3sdowbyj1uhbt49q/summit-151711-tn.jpg?rlkey=tjtq9g8szd37iz8xlxaq0uzxn&amp;dl=0","Click to download Image")</f>
      </c>
      <c r="B573" s="0">
        <f>HYPERLINK("https://dl.dropboxusercontent.com/scl/fi/qxdho9ux6wxzi661cq0rt/womens-size-chartssummit.jpg?rlkey=9pl6vy39pxyguj1dm745g56em&amp;dl=0","Click to download SizeChart")</f>
      </c>
      <c r="C573" s="0" t="inlineStr">
        <is>
          <t>Summit Women's Pullover</t>
        </is>
      </c>
      <c r="D573" s="1">
        <v>151711</v>
      </c>
      <c r="E573" s="0" t="inlineStr">
        <is>
          <t>IOWA SUMMIT W DG:151711A-S</t>
        </is>
      </c>
      <c r="F573" s="2">
        <v>800151711042</v>
      </c>
      <c r="G573" s="0" t="inlineStr">
        <is>
          <t>WOMENS</t>
        </is>
      </c>
      <c r="H573" s="0" t="inlineStr">
        <is>
          <t>S</t>
        </is>
      </c>
      <c r="I573" s="0">
        <v>59.99</v>
      </c>
      <c r="J573" s="0">
        <v>2</v>
      </c>
    </row>
    <row r="574" spans="1:10" customHeight="0">
      <c r="A574" s="0">
        <f>HYPERLINK("https://dl.dropboxusercontent.com/scl/fi/7ks2w3sdowbyj1uhbt49q/summit-151711-tn.jpg?rlkey=tjtq9g8szd37iz8xlxaq0uzxn&amp;dl=0","Click to download Image")</f>
      </c>
      <c r="B574" s="0">
        <f>HYPERLINK("https://dl.dropboxusercontent.com/scl/fi/qxdho9ux6wxzi661cq0rt/womens-size-chartssummit.jpg?rlkey=9pl6vy39pxyguj1dm745g56em&amp;dl=0","Click to download SizeChart")</f>
      </c>
      <c r="C574" s="0" t="inlineStr">
        <is>
          <t>Summit Women's Pullover</t>
        </is>
      </c>
      <c r="D574" s="1">
        <v>151711</v>
      </c>
      <c r="E574" s="0" t="inlineStr">
        <is>
          <t>IOWA SUMMIT W DG:151711B-M</t>
        </is>
      </c>
      <c r="F574" s="2">
        <v>800151711059</v>
      </c>
      <c r="G574" s="0" t="inlineStr">
        <is>
          <t>WOMENS</t>
        </is>
      </c>
      <c r="H574" s="0" t="inlineStr">
        <is>
          <t>M</t>
        </is>
      </c>
      <c r="I574" s="0">
        <v>59.99</v>
      </c>
      <c r="J574" s="0">
        <v>6</v>
      </c>
    </row>
    <row r="575" spans="1:10" customHeight="0">
      <c r="A575" s="0">
        <f>HYPERLINK("https://dl.dropboxusercontent.com/scl/fi/7ks2w3sdowbyj1uhbt49q/summit-151711-tn.jpg?rlkey=tjtq9g8szd37iz8xlxaq0uzxn&amp;dl=0","Click to download Image")</f>
      </c>
      <c r="B575" s="0">
        <f>HYPERLINK("https://dl.dropboxusercontent.com/scl/fi/qxdho9ux6wxzi661cq0rt/womens-size-chartssummit.jpg?rlkey=9pl6vy39pxyguj1dm745g56em&amp;dl=0","Click to download SizeChart")</f>
      </c>
      <c r="C575" s="0" t="inlineStr">
        <is>
          <t>Summit Women's Pullover</t>
        </is>
      </c>
      <c r="D575" s="1">
        <v>151711</v>
      </c>
      <c r="E575" s="0" t="inlineStr">
        <is>
          <t>IOWA SUMMIT W DG:151711C-L</t>
        </is>
      </c>
      <c r="F575" s="2">
        <v>800151711066</v>
      </c>
      <c r="G575" s="0" t="inlineStr">
        <is>
          <t>WOMENS</t>
        </is>
      </c>
      <c r="H575" s="0" t="inlineStr">
        <is>
          <t>L</t>
        </is>
      </c>
      <c r="I575" s="0">
        <v>59.99</v>
      </c>
      <c r="J575" s="0">
        <v>3</v>
      </c>
    </row>
    <row r="576" spans="1:10" customHeight="0">
      <c r="A576" s="0">
        <f>HYPERLINK("https://dl.dropboxusercontent.com/scl/fi/7ks2w3sdowbyj1uhbt49q/summit-151711-tn.jpg?rlkey=tjtq9g8szd37iz8xlxaq0uzxn&amp;dl=0","Click to download Image")</f>
      </c>
      <c r="B576" s="0">
        <f>HYPERLINK("https://dl.dropboxusercontent.com/scl/fi/qxdho9ux6wxzi661cq0rt/womens-size-chartssummit.jpg?rlkey=9pl6vy39pxyguj1dm745g56em&amp;dl=0","Click to download SizeChart")</f>
      </c>
      <c r="C576" s="0" t="inlineStr">
        <is>
          <t>Summit Women's Pullover</t>
        </is>
      </c>
      <c r="D576" s="1">
        <v>151711</v>
      </c>
      <c r="E576" s="0" t="inlineStr">
        <is>
          <t>IOWA SUMMIT W DG:151711D-XL</t>
        </is>
      </c>
      <c r="F576" s="2">
        <v>800151711073</v>
      </c>
      <c r="G576" s="0" t="inlineStr">
        <is>
          <t>WOMENS</t>
        </is>
      </c>
      <c r="H576" s="0" t="inlineStr">
        <is>
          <t>XL</t>
        </is>
      </c>
      <c r="I576" s="0">
        <v>59.99</v>
      </c>
      <c r="J576" s="0">
        <v>3</v>
      </c>
    </row>
    <row r="577" spans="1:10" customHeight="0">
      <c r="A577" s="0">
        <f>HYPERLINK("https://dl.dropboxusercontent.com/scl/fi/7ks2w3sdowbyj1uhbt49q/summit-151711-tn.jpg?rlkey=tjtq9g8szd37iz8xlxaq0uzxn&amp;dl=0","Click to download Image")</f>
      </c>
      <c r="B577" s="0">
        <f>HYPERLINK("https://dl.dropboxusercontent.com/scl/fi/qxdho9ux6wxzi661cq0rt/womens-size-chartssummit.jpg?rlkey=9pl6vy39pxyguj1dm745g56em&amp;dl=0","Click to download SizeChart")</f>
      </c>
      <c r="C577" s="0" t="inlineStr">
        <is>
          <t>Summit Women's Pullover</t>
        </is>
      </c>
      <c r="D577" s="1">
        <v>151711</v>
      </c>
      <c r="E577" s="0" t="inlineStr">
        <is>
          <t>IOWA SUMMIT W DG:151711E-2XL</t>
        </is>
      </c>
      <c r="F577" s="2">
        <v>800151711080</v>
      </c>
      <c r="G577" s="0" t="inlineStr">
        <is>
          <t>WOMENS</t>
        </is>
      </c>
      <c r="H577" s="0" t="inlineStr">
        <is>
          <t>2XL</t>
        </is>
      </c>
      <c r="I577" s="0">
        <v>61.99</v>
      </c>
      <c r="J577" s="0">
        <v>1</v>
      </c>
    </row>
    <row r="578" spans="1:10" customHeight="0">
      <c r="A578" s="0">
        <f>HYPERLINK("https://dl.dropboxusercontent.com/scl/fi/7ks2w3sdowbyj1uhbt49q/summit-151711-tn.jpg?rlkey=tjtq9g8szd37iz8xlxaq0uzxn&amp;dl=0","Click to download Image")</f>
      </c>
      <c r="B578" s="0">
        <f>HYPERLINK("https://dl.dropboxusercontent.com/scl/fi/qxdho9ux6wxzi661cq0rt/womens-size-chartssummit.jpg?rlkey=9pl6vy39pxyguj1dm745g56em&amp;dl=0","Click to download SizeChart")</f>
      </c>
      <c r="C578" s="0" t="inlineStr">
        <is>
          <t>Summit Women's Pullover</t>
        </is>
      </c>
      <c r="D578" s="1">
        <v>151711</v>
      </c>
      <c r="E578" s="0" t="inlineStr">
        <is>
          <t>IOWA SUMMIT W DG:151711F-3XL</t>
        </is>
      </c>
      <c r="F578" s="2">
        <v>800151711097</v>
      </c>
      <c r="G578" s="0" t="inlineStr">
        <is>
          <t>WOMENS</t>
        </is>
      </c>
      <c r="H578" s="0" t="inlineStr">
        <is>
          <t>3XL</t>
        </is>
      </c>
      <c r="I578" s="0">
        <v>61.99</v>
      </c>
      <c r="J578" s="0">
        <v>2</v>
      </c>
    </row>
    <row r="579" spans="1:10" customHeight="0">
      <c r="A579" s="0">
        <f>HYPERLINK("https://dl.dropboxusercontent.com/scl/fi/7ks2w3sdowbyj1uhbt49q/summit-151711-tn.jpg?rlkey=tjtq9g8szd37iz8xlxaq0uzxn&amp;dl=0","Click to download Image")</f>
      </c>
      <c r="B579" s="0">
        <f>HYPERLINK("https://dl.dropboxusercontent.com/scl/fi/qxdho9ux6wxzi661cq0rt/womens-size-chartssummit.jpg?rlkey=9pl6vy39pxyguj1dm745g56em&amp;dl=0","Click to download SizeChart")</f>
      </c>
      <c r="C579" s="0" t="inlineStr">
        <is>
          <t>Summit Women's Pullover</t>
        </is>
      </c>
      <c r="D579" s="1">
        <v>151711</v>
      </c>
      <c r="E579" s="0" t="inlineStr">
        <is>
          <t>IOWA SUMMIT W DG:151711Z-12PK</t>
        </is>
      </c>
      <c r="F579" s="2">
        <v>800151711998</v>
      </c>
      <c r="G579" s="0" t="inlineStr">
        <is>
          <t>WOMENS</t>
        </is>
      </c>
      <c r="H579" s="0" t="inlineStr">
        <is>
          <t>12 PACK</t>
        </is>
      </c>
      <c r="I579" s="0">
        <v>576</v>
      </c>
      <c r="J579" s="0">
        <v>0</v>
      </c>
    </row>
    <row r="580" spans="1:10" customHeight="0">
      <c r="A580" s="0">
        <f>HYPERLINK("https://dl.dropboxusercontent.com/scl/fi/cm5mpunl8qvphue2bvm3w/waverly-151641-f.jpg?rlkey=odhgkbhoqsx1kd06wn3ajs615&amp;dl=0","Click to download Image")</f>
      </c>
      <c r="B580" s="0">
        <f>HYPERLINK("https://dl.dropboxusercontent.com/scl/fi/hb8tk6494davfafu0smy0/mens-jackets-size-chartswaverly.jpg?rlkey=j0bniqs6mzyn4n3cqticcnksa&amp;dl=0","Click to download SizeChart")</f>
      </c>
      <c r="C580" s="0" t="inlineStr">
        <is>
          <t>Waverly Men's Jacket</t>
        </is>
      </c>
      <c r="D580" s="1">
        <v>151641</v>
      </c>
      <c r="E580" s="0" t="inlineStr">
        <is>
          <t>IOWA WAVERL M BK:151641A-S</t>
        </is>
      </c>
      <c r="F580" s="2">
        <v>800151641042</v>
      </c>
      <c r="G580" s="0" t="inlineStr">
        <is>
          <t>MENS</t>
        </is>
      </c>
      <c r="H580" s="0" t="inlineStr">
        <is>
          <t>S</t>
        </is>
      </c>
      <c r="I580" s="0">
        <v>149.99</v>
      </c>
      <c r="J580" s="0">
        <v>9</v>
      </c>
    </row>
    <row r="581" spans="1:10" customHeight="0">
      <c r="A581" s="0">
        <f>HYPERLINK("https://dl.dropboxusercontent.com/scl/fi/cm5mpunl8qvphue2bvm3w/waverly-151641-f.jpg?rlkey=odhgkbhoqsx1kd06wn3ajs615&amp;dl=0","Click to download Image")</f>
      </c>
      <c r="B581" s="0">
        <f>HYPERLINK("https://dl.dropboxusercontent.com/scl/fi/hb8tk6494davfafu0smy0/mens-jackets-size-chartswaverly.jpg?rlkey=j0bniqs6mzyn4n3cqticcnksa&amp;dl=0","Click to download SizeChart")</f>
      </c>
      <c r="C581" s="0" t="inlineStr">
        <is>
          <t>Waverly Men's Jacket</t>
        </is>
      </c>
      <c r="D581" s="1">
        <v>151641</v>
      </c>
      <c r="E581" s="0" t="inlineStr">
        <is>
          <t>IOWA WAVERL M BK:151641B-M</t>
        </is>
      </c>
      <c r="F581" s="2">
        <v>800151641059</v>
      </c>
      <c r="G581" s="0" t="inlineStr">
        <is>
          <t>MENS</t>
        </is>
      </c>
      <c r="H581" s="0" t="inlineStr">
        <is>
          <t>M</t>
        </is>
      </c>
      <c r="I581" s="0">
        <v>149.99</v>
      </c>
      <c r="J581" s="0">
        <v>21</v>
      </c>
    </row>
    <row r="582" spans="1:10" customHeight="0">
      <c r="A582" s="0">
        <f>HYPERLINK("https://dl.dropboxusercontent.com/scl/fi/cm5mpunl8qvphue2bvm3w/waverly-151641-f.jpg?rlkey=odhgkbhoqsx1kd06wn3ajs615&amp;dl=0","Click to download Image")</f>
      </c>
      <c r="B582" s="0">
        <f>HYPERLINK("https://dl.dropboxusercontent.com/scl/fi/hb8tk6494davfafu0smy0/mens-jackets-size-chartswaverly.jpg?rlkey=j0bniqs6mzyn4n3cqticcnksa&amp;dl=0","Click to download SizeChart")</f>
      </c>
      <c r="C582" s="0" t="inlineStr">
        <is>
          <t>Waverly Men's Jacket</t>
        </is>
      </c>
      <c r="D582" s="1">
        <v>151641</v>
      </c>
      <c r="E582" s="0" t="inlineStr">
        <is>
          <t>IOWA WAVERL M BK:151641C-L</t>
        </is>
      </c>
      <c r="F582" s="2">
        <v>800151641066</v>
      </c>
      <c r="G582" s="0" t="inlineStr">
        <is>
          <t>MENS</t>
        </is>
      </c>
      <c r="H582" s="0" t="inlineStr">
        <is>
          <t>L</t>
        </is>
      </c>
      <c r="I582" s="0">
        <v>149.99</v>
      </c>
      <c r="J582" s="0">
        <v>22</v>
      </c>
    </row>
    <row r="583" spans="1:10" customHeight="0">
      <c r="A583" s="0">
        <f>HYPERLINK("https://dl.dropboxusercontent.com/scl/fi/cm5mpunl8qvphue2bvm3w/waverly-151641-f.jpg?rlkey=odhgkbhoqsx1kd06wn3ajs615&amp;dl=0","Click to download Image")</f>
      </c>
      <c r="B583" s="0">
        <f>HYPERLINK("https://dl.dropboxusercontent.com/scl/fi/hb8tk6494davfafu0smy0/mens-jackets-size-chartswaverly.jpg?rlkey=j0bniqs6mzyn4n3cqticcnksa&amp;dl=0","Click to download SizeChart")</f>
      </c>
      <c r="C583" s="0" t="inlineStr">
        <is>
          <t>Waverly Men's Jacket</t>
        </is>
      </c>
      <c r="D583" s="1">
        <v>151641</v>
      </c>
      <c r="E583" s="0" t="inlineStr">
        <is>
          <t>IOWA WAVERL M BK:151641D-XL</t>
        </is>
      </c>
      <c r="F583" s="2">
        <v>800151641073</v>
      </c>
      <c r="G583" s="0" t="inlineStr">
        <is>
          <t>MENS</t>
        </is>
      </c>
      <c r="H583" s="0" t="inlineStr">
        <is>
          <t>XL</t>
        </is>
      </c>
      <c r="I583" s="0">
        <v>149.99</v>
      </c>
      <c r="J583" s="0">
        <v>26</v>
      </c>
    </row>
    <row r="584" spans="1:10" customHeight="0">
      <c r="A584" s="0">
        <f>HYPERLINK("https://dl.dropboxusercontent.com/scl/fi/cm5mpunl8qvphue2bvm3w/waverly-151641-f.jpg?rlkey=odhgkbhoqsx1kd06wn3ajs615&amp;dl=0","Click to download Image")</f>
      </c>
      <c r="B584" s="0">
        <f>HYPERLINK("https://dl.dropboxusercontent.com/scl/fi/hb8tk6494davfafu0smy0/mens-jackets-size-chartswaverly.jpg?rlkey=j0bniqs6mzyn4n3cqticcnksa&amp;dl=0","Click to download SizeChart")</f>
      </c>
      <c r="C584" s="0" t="inlineStr">
        <is>
          <t>Waverly Men's Jacket</t>
        </is>
      </c>
      <c r="D584" s="1">
        <v>151641</v>
      </c>
      <c r="E584" s="0" t="inlineStr">
        <is>
          <t>IOWA WAVERL M BK:151641E-2XL</t>
        </is>
      </c>
      <c r="F584" s="2">
        <v>800151641080</v>
      </c>
      <c r="G584" s="0" t="inlineStr">
        <is>
          <t>MENS</t>
        </is>
      </c>
      <c r="H584" s="0" t="inlineStr">
        <is>
          <t>2XL</t>
        </is>
      </c>
      <c r="I584" s="0">
        <v>151.99</v>
      </c>
      <c r="J584" s="0">
        <v>21</v>
      </c>
    </row>
    <row r="585" spans="1:10" customHeight="0">
      <c r="A585" s="0">
        <f>HYPERLINK("https://dl.dropboxusercontent.com/scl/fi/cm5mpunl8qvphue2bvm3w/waverly-151641-f.jpg?rlkey=odhgkbhoqsx1kd06wn3ajs615&amp;dl=0","Click to download Image")</f>
      </c>
      <c r="B585" s="0">
        <f>HYPERLINK("https://dl.dropboxusercontent.com/scl/fi/hb8tk6494davfafu0smy0/mens-jackets-size-chartswaverly.jpg?rlkey=j0bniqs6mzyn4n3cqticcnksa&amp;dl=0","Click to download SizeChart")</f>
      </c>
      <c r="C585" s="0" t="inlineStr">
        <is>
          <t>Waverly Men's Jacket</t>
        </is>
      </c>
      <c r="D585" s="1">
        <v>151641</v>
      </c>
      <c r="E585" s="0" t="inlineStr">
        <is>
          <t>IOWA WAVERL M BK:151641F-3XL</t>
        </is>
      </c>
      <c r="F585" s="2">
        <v>800151641097</v>
      </c>
      <c r="G585" s="0" t="inlineStr">
        <is>
          <t>MENS</t>
        </is>
      </c>
      <c r="H585" s="0" t="inlineStr">
        <is>
          <t>3XL</t>
        </is>
      </c>
      <c r="I585" s="0">
        <v>151.99</v>
      </c>
      <c r="J585" s="0">
        <v>9</v>
      </c>
    </row>
    <row r="586" spans="1:10" customHeight="0">
      <c r="A586" s="0">
        <f>HYPERLINK("https://dl.dropboxusercontent.com/scl/fi/cm5mpunl8qvphue2bvm3w/waverly-151641-f.jpg?rlkey=odhgkbhoqsx1kd06wn3ajs615&amp;dl=0","Click to download Image")</f>
      </c>
      <c r="B586" s="0">
        <f>HYPERLINK("https://dl.dropboxusercontent.com/scl/fi/hb8tk6494davfafu0smy0/mens-jackets-size-chartswaverly.jpg?rlkey=j0bniqs6mzyn4n3cqticcnksa&amp;dl=0","Click to download SizeChart")</f>
      </c>
      <c r="C586" s="0" t="inlineStr">
        <is>
          <t>Waverly Men's Jacket</t>
        </is>
      </c>
      <c r="D586" s="1">
        <v>151641</v>
      </c>
      <c r="E586" s="0" t="inlineStr">
        <is>
          <t>IOWA WAVERL M BK:151641Z-12PK</t>
        </is>
      </c>
      <c r="F586" s="2">
        <v>800151641998</v>
      </c>
      <c r="G586" s="0" t="inlineStr">
        <is>
          <t>MENS</t>
        </is>
      </c>
      <c r="H586" s="0" t="inlineStr">
        <is>
          <t>12 PACK</t>
        </is>
      </c>
      <c r="I586" s="0">
        <v>1446</v>
      </c>
      <c r="J586" s="0">
        <v>0</v>
      </c>
    </row>
    <row r="587" spans="1:10" customHeight="0">
      <c r="A587" s="0">
        <f>HYPERLINK("https://dl.dropboxusercontent.com/scl/fi/xiai71tvogvh1fhjja7g9/waverly.jpg?rlkey=go52gnt1o6u7aljfc8abeq6ew&amp;dl=0","Click to download Image")</f>
      </c>
      <c r="B587" s="0">
        <f>HYPERLINK("https://dl.dropboxusercontent.com/scl/fi/dzf0zqfl7xe4iq2zy5sl6/womens-jackets-size-chartswaverly.jpg?rlkey=hv1ia6ucqznnmoiztzxwql4m2&amp;dl=0","Click to download SizeChart")</f>
      </c>
      <c r="C587" s="0" t="inlineStr">
        <is>
          <t>Waverly Women's Jacket</t>
        </is>
      </c>
      <c r="D587" s="1">
        <v>151801</v>
      </c>
      <c r="E587" s="0" t="inlineStr">
        <is>
          <t>IOWA WAVERL W BK:151801A-S</t>
        </is>
      </c>
      <c r="F587" s="2">
        <v>800151801040</v>
      </c>
      <c r="G587" s="0" t="inlineStr">
        <is>
          <t>WOMENS</t>
        </is>
      </c>
      <c r="H587" s="0" t="inlineStr">
        <is>
          <t>S</t>
        </is>
      </c>
      <c r="I587" s="0">
        <v>149.99</v>
      </c>
      <c r="J587" s="0">
        <v>14</v>
      </c>
    </row>
    <row r="588" spans="1:10" customHeight="0">
      <c r="A588" s="0">
        <f>HYPERLINK("https://dl.dropboxusercontent.com/scl/fi/xiai71tvogvh1fhjja7g9/waverly.jpg?rlkey=go52gnt1o6u7aljfc8abeq6ew&amp;dl=0","Click to download Image")</f>
      </c>
      <c r="B588" s="0">
        <f>HYPERLINK("https://dl.dropboxusercontent.com/scl/fi/dzf0zqfl7xe4iq2zy5sl6/womens-jackets-size-chartswaverly.jpg?rlkey=hv1ia6ucqznnmoiztzxwql4m2&amp;dl=0","Click to download SizeChart")</f>
      </c>
      <c r="C588" s="0" t="inlineStr">
        <is>
          <t>Waverly Women's Jacket</t>
        </is>
      </c>
      <c r="D588" s="1">
        <v>151801</v>
      </c>
      <c r="E588" s="0" t="inlineStr">
        <is>
          <t>IOWA WAVERL W BK:151801B-M</t>
        </is>
      </c>
      <c r="F588" s="2">
        <v>800151801057</v>
      </c>
      <c r="G588" s="0" t="inlineStr">
        <is>
          <t>WOMENS</t>
        </is>
      </c>
      <c r="H588" s="0" t="inlineStr">
        <is>
          <t>M</t>
        </is>
      </c>
      <c r="I588" s="0">
        <v>149.99</v>
      </c>
      <c r="J588" s="0">
        <v>26</v>
      </c>
    </row>
    <row r="589" spans="1:10" customHeight="0">
      <c r="A589" s="0">
        <f>HYPERLINK("https://dl.dropboxusercontent.com/scl/fi/xiai71tvogvh1fhjja7g9/waverly.jpg?rlkey=go52gnt1o6u7aljfc8abeq6ew&amp;dl=0","Click to download Image")</f>
      </c>
      <c r="B589" s="0">
        <f>HYPERLINK("https://dl.dropboxusercontent.com/scl/fi/dzf0zqfl7xe4iq2zy5sl6/womens-jackets-size-chartswaverly.jpg?rlkey=hv1ia6ucqznnmoiztzxwql4m2&amp;dl=0","Click to download SizeChart")</f>
      </c>
      <c r="C589" s="0" t="inlineStr">
        <is>
          <t>Waverly Women's Jacket</t>
        </is>
      </c>
      <c r="D589" s="1">
        <v>151801</v>
      </c>
      <c r="E589" s="0" t="inlineStr">
        <is>
          <t>IOWA WAVERL W BK:151801C-L</t>
        </is>
      </c>
      <c r="F589" s="2">
        <v>800151801064</v>
      </c>
      <c r="G589" s="0" t="inlineStr">
        <is>
          <t>WOMENS</t>
        </is>
      </c>
      <c r="H589" s="0" t="inlineStr">
        <is>
          <t>L</t>
        </is>
      </c>
      <c r="I589" s="0">
        <v>149.99</v>
      </c>
      <c r="J589" s="0">
        <v>28</v>
      </c>
    </row>
    <row r="590" spans="1:10" customHeight="0">
      <c r="A590" s="0">
        <f>HYPERLINK("https://dl.dropboxusercontent.com/scl/fi/xiai71tvogvh1fhjja7g9/waverly.jpg?rlkey=go52gnt1o6u7aljfc8abeq6ew&amp;dl=0","Click to download Image")</f>
      </c>
      <c r="B590" s="0">
        <f>HYPERLINK("https://dl.dropboxusercontent.com/scl/fi/dzf0zqfl7xe4iq2zy5sl6/womens-jackets-size-chartswaverly.jpg?rlkey=hv1ia6ucqznnmoiztzxwql4m2&amp;dl=0","Click to download SizeChart")</f>
      </c>
      <c r="C590" s="0" t="inlineStr">
        <is>
          <t>Waverly Women's Jacket</t>
        </is>
      </c>
      <c r="D590" s="1">
        <v>151801</v>
      </c>
      <c r="E590" s="0" t="inlineStr">
        <is>
          <t>IOWA WAVERL W BK:151801D-XL</t>
        </is>
      </c>
      <c r="F590" s="2">
        <v>800151801071</v>
      </c>
      <c r="G590" s="0" t="inlineStr">
        <is>
          <t>WOMENS</t>
        </is>
      </c>
      <c r="H590" s="0" t="inlineStr">
        <is>
          <t>XL</t>
        </is>
      </c>
      <c r="I590" s="0">
        <v>149.99</v>
      </c>
      <c r="J590" s="0">
        <v>15</v>
      </c>
    </row>
    <row r="591" spans="1:10" customHeight="0">
      <c r="A591" s="0">
        <f>HYPERLINK("https://dl.dropboxusercontent.com/scl/fi/xiai71tvogvh1fhjja7g9/waverly.jpg?rlkey=go52gnt1o6u7aljfc8abeq6ew&amp;dl=0","Click to download Image")</f>
      </c>
      <c r="B591" s="0">
        <f>HYPERLINK("https://dl.dropboxusercontent.com/scl/fi/dzf0zqfl7xe4iq2zy5sl6/womens-jackets-size-chartswaverly.jpg?rlkey=hv1ia6ucqznnmoiztzxwql4m2&amp;dl=0","Click to download SizeChart")</f>
      </c>
      <c r="C591" s="0" t="inlineStr">
        <is>
          <t>Waverly Women's Jacket</t>
        </is>
      </c>
      <c r="D591" s="1">
        <v>151801</v>
      </c>
      <c r="E591" s="0" t="inlineStr">
        <is>
          <t>IOWA WAVERL W BK:151801E-2XL</t>
        </is>
      </c>
      <c r="F591" s="2">
        <v>800151801088</v>
      </c>
      <c r="G591" s="0" t="inlineStr">
        <is>
          <t>WOMENS</t>
        </is>
      </c>
      <c r="H591" s="0" t="inlineStr">
        <is>
          <t>2XL</t>
        </is>
      </c>
      <c r="I591" s="0">
        <v>149.99</v>
      </c>
      <c r="J591" s="0">
        <v>7</v>
      </c>
    </row>
    <row r="592" spans="1:10" customHeight="0">
      <c r="A592" s="0">
        <f>HYPERLINK("https://dl.dropboxusercontent.com/scl/fi/xiai71tvogvh1fhjja7g9/waverly.jpg?rlkey=go52gnt1o6u7aljfc8abeq6ew&amp;dl=0","Click to download Image")</f>
      </c>
      <c r="B592" s="0">
        <f>HYPERLINK("https://dl.dropboxusercontent.com/scl/fi/dzf0zqfl7xe4iq2zy5sl6/womens-jackets-size-chartswaverly.jpg?rlkey=hv1ia6ucqznnmoiztzxwql4m2&amp;dl=0","Click to download SizeChart")</f>
      </c>
      <c r="C592" s="0" t="inlineStr">
        <is>
          <t>Waverly Women's Jacket</t>
        </is>
      </c>
      <c r="D592" s="1">
        <v>151801</v>
      </c>
      <c r="E592" s="0" t="inlineStr">
        <is>
          <t>IOWA WAVERL W BK:151801F-3XL</t>
        </is>
      </c>
      <c r="F592" s="2">
        <v>800151801095</v>
      </c>
      <c r="G592" s="0" t="inlineStr">
        <is>
          <t>WOMENS</t>
        </is>
      </c>
      <c r="H592" s="0" t="inlineStr">
        <is>
          <t>3XL</t>
        </is>
      </c>
      <c r="I592" s="0">
        <v>149.99</v>
      </c>
      <c r="J592" s="0">
        <v>3</v>
      </c>
    </row>
    <row r="593" spans="1:10" customHeight="0">
      <c r="A593" s="0">
        <f>HYPERLINK("https://dl.dropboxusercontent.com/scl/fi/xiai71tvogvh1fhjja7g9/waverly.jpg?rlkey=go52gnt1o6u7aljfc8abeq6ew&amp;dl=0","Click to download Image")</f>
      </c>
      <c r="B593" s="0">
        <f>HYPERLINK("https://dl.dropboxusercontent.com/scl/fi/dzf0zqfl7xe4iq2zy5sl6/womens-jackets-size-chartswaverly.jpg?rlkey=hv1ia6ucqznnmoiztzxwql4m2&amp;dl=0","Click to download SizeChart")</f>
      </c>
      <c r="C593" s="0" t="inlineStr">
        <is>
          <t>Waverly Women's Jacket</t>
        </is>
      </c>
      <c r="D593" s="1">
        <v>151801</v>
      </c>
      <c r="E593" s="0" t="inlineStr">
        <is>
          <t>IOWA WAVERL W BK:151801Z-12PK</t>
        </is>
      </c>
      <c r="F593" s="2">
        <v>800151801996</v>
      </c>
      <c r="G593" s="0" t="inlineStr">
        <is>
          <t>WOMENS</t>
        </is>
      </c>
      <c r="H593" s="0" t="inlineStr">
        <is>
          <t>12 PACK</t>
        </is>
      </c>
      <c r="I593" s="0">
        <v>1440</v>
      </c>
      <c r="J593" s="0">
        <v>0</v>
      </c>
    </row>
    <row r="594" spans="1:10" customHeight="0">
      <c r="A594" s="0">
        <f>HYPERLINK("https://dl.dropboxusercontent.com/scl/fi/872mwm73xwr15mhmsfipv/amia-142127-tn.jpg?rlkey=u88b6evwdvw33mc9ktflgns28&amp;dl=0","Click to download Image")</f>
      </c>
      <c r="B594" s="0">
        <f>HYPERLINK("https://dl.dropboxusercontent.com/scl/fi/mfzwkfj3tcfrdgbkl4eb0/womens-t-shirt-size-chartsamia-2024.jpg?rlkey=b9tmp9ffh88y02hxyy1xjwezl&amp;dl=0","Click to download SizeChart")</f>
      </c>
      <c r="C594" s="0" t="inlineStr">
        <is>
          <t>Amia Women's Crop Short Sleeve Shirt</t>
        </is>
      </c>
      <c r="D594" s="1">
        <v>142127</v>
      </c>
      <c r="E594" s="0" t="inlineStr">
        <is>
          <t>IOWA AMIA W GD:142127A-S</t>
        </is>
      </c>
      <c r="F594" s="2">
        <v>800142127043</v>
      </c>
      <c r="G594" s="0" t="inlineStr">
        <is>
          <t>WOMENS</t>
        </is>
      </c>
      <c r="H594" s="0" t="inlineStr">
        <is>
          <t>S</t>
        </is>
      </c>
      <c r="I594" s="0">
        <v>32.99</v>
      </c>
      <c r="J594" s="0">
        <v>1</v>
      </c>
    </row>
    <row r="595" spans="1:10" customHeight="0">
      <c r="A595" s="0">
        <f>HYPERLINK("https://dl.dropboxusercontent.com/scl/fi/872mwm73xwr15mhmsfipv/amia-142127-tn.jpg?rlkey=u88b6evwdvw33mc9ktflgns28&amp;dl=0","Click to download Image")</f>
      </c>
      <c r="B595" s="0">
        <f>HYPERLINK("https://dl.dropboxusercontent.com/scl/fi/mfzwkfj3tcfrdgbkl4eb0/womens-t-shirt-size-chartsamia-2024.jpg?rlkey=b9tmp9ffh88y02hxyy1xjwezl&amp;dl=0","Click to download SizeChart")</f>
      </c>
      <c r="C595" s="0" t="inlineStr">
        <is>
          <t>Amia Women's Crop Short Sleeve Shirt</t>
        </is>
      </c>
      <c r="D595" s="1">
        <v>142127</v>
      </c>
      <c r="E595" s="0" t="inlineStr">
        <is>
          <t>IOWA AMIA W GD:142127B-M</t>
        </is>
      </c>
      <c r="F595" s="2">
        <v>800142127050</v>
      </c>
      <c r="G595" s="0" t="inlineStr">
        <is>
          <t>WOMENS</t>
        </is>
      </c>
      <c r="H595" s="0" t="inlineStr">
        <is>
          <t>M</t>
        </is>
      </c>
      <c r="I595" s="0">
        <v>32.99</v>
      </c>
      <c r="J595" s="0">
        <v>0</v>
      </c>
    </row>
    <row r="596" spans="1:10" customHeight="0">
      <c r="A596" s="0">
        <f>HYPERLINK("https://dl.dropboxusercontent.com/scl/fi/872mwm73xwr15mhmsfipv/amia-142127-tn.jpg?rlkey=u88b6evwdvw33mc9ktflgns28&amp;dl=0","Click to download Image")</f>
      </c>
      <c r="B596" s="0">
        <f>HYPERLINK("https://dl.dropboxusercontent.com/scl/fi/mfzwkfj3tcfrdgbkl4eb0/womens-t-shirt-size-chartsamia-2024.jpg?rlkey=b9tmp9ffh88y02hxyy1xjwezl&amp;dl=0","Click to download SizeChart")</f>
      </c>
      <c r="C596" s="0" t="inlineStr">
        <is>
          <t>Amia Women's Crop Short Sleeve Shirt</t>
        </is>
      </c>
      <c r="D596" s="1">
        <v>142127</v>
      </c>
      <c r="E596" s="0" t="inlineStr">
        <is>
          <t>IOWA AMIA W GD:142127C-L</t>
        </is>
      </c>
      <c r="F596" s="2">
        <v>800142127067</v>
      </c>
      <c r="G596" s="0" t="inlineStr">
        <is>
          <t>WOMENS</t>
        </is>
      </c>
      <c r="H596" s="0" t="inlineStr">
        <is>
          <t>L</t>
        </is>
      </c>
      <c r="I596" s="0">
        <v>32.99</v>
      </c>
      <c r="J596" s="0">
        <v>0</v>
      </c>
    </row>
    <row r="597" spans="1:10" customHeight="0">
      <c r="A597" s="0">
        <f>HYPERLINK("https://dl.dropboxusercontent.com/scl/fi/872mwm73xwr15mhmsfipv/amia-142127-tn.jpg?rlkey=u88b6evwdvw33mc9ktflgns28&amp;dl=0","Click to download Image")</f>
      </c>
      <c r="B597" s="0">
        <f>HYPERLINK("https://dl.dropboxusercontent.com/scl/fi/mfzwkfj3tcfrdgbkl4eb0/womens-t-shirt-size-chartsamia-2024.jpg?rlkey=b9tmp9ffh88y02hxyy1xjwezl&amp;dl=0","Click to download SizeChart")</f>
      </c>
      <c r="C597" s="0" t="inlineStr">
        <is>
          <t>Amia Women's Crop Short Sleeve Shirt</t>
        </is>
      </c>
      <c r="D597" s="1">
        <v>142127</v>
      </c>
      <c r="E597" s="0" t="inlineStr">
        <is>
          <t>IOWA AMIA W GD:142127D-XL</t>
        </is>
      </c>
      <c r="F597" s="2">
        <v>800142127074</v>
      </c>
      <c r="G597" s="0" t="inlineStr">
        <is>
          <t>WOMENS</t>
        </is>
      </c>
      <c r="H597" s="0" t="inlineStr">
        <is>
          <t>XL</t>
        </is>
      </c>
      <c r="I597" s="0">
        <v>32.99</v>
      </c>
      <c r="J597" s="0">
        <v>0</v>
      </c>
    </row>
    <row r="598" spans="1:10" customHeight="0">
      <c r="A598" s="0">
        <f>HYPERLINK("https://dl.dropboxusercontent.com/scl/fi/872mwm73xwr15mhmsfipv/amia-142127-tn.jpg?rlkey=u88b6evwdvw33mc9ktflgns28&amp;dl=0","Click to download Image")</f>
      </c>
      <c r="B598" s="0">
        <f>HYPERLINK("https://dl.dropboxusercontent.com/scl/fi/mfzwkfj3tcfrdgbkl4eb0/womens-t-shirt-size-chartsamia-2024.jpg?rlkey=b9tmp9ffh88y02hxyy1xjwezl&amp;dl=0","Click to download SizeChart")</f>
      </c>
      <c r="C598" s="0" t="inlineStr">
        <is>
          <t>Amia Women's Crop Short Sleeve Shirt</t>
        </is>
      </c>
      <c r="D598" s="1">
        <v>142127</v>
      </c>
      <c r="E598" s="0" t="inlineStr">
        <is>
          <t>IOWA AMIA W GD:142127E-2XL</t>
        </is>
      </c>
      <c r="F598" s="2">
        <v>800142127081</v>
      </c>
      <c r="G598" s="0" t="inlineStr">
        <is>
          <t>WOMENS</t>
        </is>
      </c>
      <c r="H598" s="0" t="inlineStr">
        <is>
          <t>2XL</t>
        </is>
      </c>
      <c r="I598" s="0">
        <v>34.99</v>
      </c>
      <c r="J598" s="0">
        <v>0</v>
      </c>
    </row>
    <row r="599" spans="1:10" customHeight="0">
      <c r="A599" s="0">
        <f>HYPERLINK("https://dl.dropboxusercontent.com/scl/fi/872mwm73xwr15mhmsfipv/amia-142127-tn.jpg?rlkey=u88b6evwdvw33mc9ktflgns28&amp;dl=0","Click to download Image")</f>
      </c>
      <c r="B599" s="0">
        <f>HYPERLINK("https://dl.dropboxusercontent.com/scl/fi/mfzwkfj3tcfrdgbkl4eb0/womens-t-shirt-size-chartsamia-2024.jpg?rlkey=b9tmp9ffh88y02hxyy1xjwezl&amp;dl=0","Click to download SizeChart")</f>
      </c>
      <c r="C599" s="0" t="inlineStr">
        <is>
          <t>Amia Women's Crop Short Sleeve Shirt</t>
        </is>
      </c>
      <c r="D599" s="1">
        <v>142127</v>
      </c>
      <c r="E599" s="0" t="inlineStr">
        <is>
          <t>IOWA AMIA W GD:142127F-3XL</t>
        </is>
      </c>
      <c r="F599" s="2">
        <v>800142127098</v>
      </c>
      <c r="G599" s="0" t="inlineStr">
        <is>
          <t>WOMENS</t>
        </is>
      </c>
      <c r="H599" s="0" t="inlineStr">
        <is>
          <t>3XL</t>
        </is>
      </c>
      <c r="I599" s="0">
        <v>34.99</v>
      </c>
      <c r="J599" s="0">
        <v>4</v>
      </c>
    </row>
    <row r="600" spans="1:10" customHeight="0">
      <c r="A600" s="0">
        <f>HYPERLINK("https://dl.dropboxusercontent.com/scl/fi/872mwm73xwr15mhmsfipv/amia-142127-tn.jpg?rlkey=u88b6evwdvw33mc9ktflgns28&amp;dl=0","Click to download Image")</f>
      </c>
      <c r="B600" s="0">
        <f>HYPERLINK("https://dl.dropboxusercontent.com/scl/fi/mfzwkfj3tcfrdgbkl4eb0/womens-t-shirt-size-chartsamia-2024.jpg?rlkey=b9tmp9ffh88y02hxyy1xjwezl&amp;dl=0","Click to download SizeChart")</f>
      </c>
      <c r="C600" s="0" t="inlineStr">
        <is>
          <t>Amia Women's Crop Short Sleeve Shirt</t>
        </is>
      </c>
      <c r="D600" s="1">
        <v>142127</v>
      </c>
      <c r="E600" s="0" t="inlineStr">
        <is>
          <t>IOWA AMIA W GD 12PK:142127Z-12PK</t>
        </is>
      </c>
      <c r="F600" s="2">
        <v>800142127999</v>
      </c>
      <c r="G600" s="0" t="inlineStr">
        <is>
          <t>WOMENS</t>
        </is>
      </c>
      <c r="H600" s="0" t="inlineStr">
        <is>
          <t>12 PACK</t>
        </is>
      </c>
      <c r="I600" s="0">
        <v>316.8</v>
      </c>
      <c r="J600" s="0">
        <v>0</v>
      </c>
    </row>
    <row r="601" spans="1:10" customHeight="0">
      <c r="A601" s="0">
        <f>HYPERLINK("https://dl.dropboxusercontent.com/scl/fi/mz9lkr8xkw4dap42z5uur/amia-142127-tn.jpg?rlkey=p1zptqk71ngogo8fx9hnwv34o&amp;dl=0","Click to download Image")</f>
      </c>
      <c r="B601" s="0">
        <f>HYPERLINK("https://dl.dropboxusercontent.com/scl/fi/mfzwkfj3tcfrdgbkl4eb0/womens-t-shirt-size-chartsamia-2024.jpg?rlkey=b9tmp9ffh88y02hxyy1xjwezl&amp;dl=0","Click to download SizeChart")</f>
      </c>
      <c r="C601" s="0" t="inlineStr">
        <is>
          <t>Amia Women's Crop Short Sleeve Shirt</t>
        </is>
      </c>
      <c r="D601" s="1">
        <v>151973</v>
      </c>
      <c r="E601" s="0" t="inlineStr">
        <is>
          <t>IOWA AMIA W WE:151973A-S</t>
        </is>
      </c>
      <c r="F601" s="2">
        <v>800151973044</v>
      </c>
      <c r="G601" s="0" t="inlineStr">
        <is>
          <t>WOMENS</t>
        </is>
      </c>
      <c r="H601" s="0" t="inlineStr">
        <is>
          <t>S</t>
        </is>
      </c>
      <c r="I601" s="0">
        <v>32.99</v>
      </c>
      <c r="J601" s="0">
        <v>1</v>
      </c>
    </row>
    <row r="602" spans="1:10" customHeight="0">
      <c r="A602" s="0">
        <f>HYPERLINK("https://dl.dropboxusercontent.com/scl/fi/mz9lkr8xkw4dap42z5uur/amia-142127-tn.jpg?rlkey=p1zptqk71ngogo8fx9hnwv34o&amp;dl=0","Click to download Image")</f>
      </c>
      <c r="B602" s="0">
        <f>HYPERLINK("https://dl.dropboxusercontent.com/scl/fi/mfzwkfj3tcfrdgbkl4eb0/womens-t-shirt-size-chartsamia-2024.jpg?rlkey=b9tmp9ffh88y02hxyy1xjwezl&amp;dl=0","Click to download SizeChart")</f>
      </c>
      <c r="C602" s="0" t="inlineStr">
        <is>
          <t>Amia Women's Crop Short Sleeve Shirt</t>
        </is>
      </c>
      <c r="D602" s="1">
        <v>151973</v>
      </c>
      <c r="E602" s="0" t="inlineStr">
        <is>
          <t>IOWA AMIA W WE:151973B-M</t>
        </is>
      </c>
      <c r="F602" s="2">
        <v>800151973051</v>
      </c>
      <c r="G602" s="0" t="inlineStr">
        <is>
          <t>WOMENS</t>
        </is>
      </c>
      <c r="H602" s="0" t="inlineStr">
        <is>
          <t>M</t>
        </is>
      </c>
      <c r="I602" s="0">
        <v>32.99</v>
      </c>
      <c r="J602" s="0">
        <v>6</v>
      </c>
    </row>
    <row r="603" spans="1:10" customHeight="0">
      <c r="A603" s="0">
        <f>HYPERLINK("https://dl.dropboxusercontent.com/scl/fi/mz9lkr8xkw4dap42z5uur/amia-142127-tn.jpg?rlkey=p1zptqk71ngogo8fx9hnwv34o&amp;dl=0","Click to download Image")</f>
      </c>
      <c r="B603" s="0">
        <f>HYPERLINK("https://dl.dropboxusercontent.com/scl/fi/mfzwkfj3tcfrdgbkl4eb0/womens-t-shirt-size-chartsamia-2024.jpg?rlkey=b9tmp9ffh88y02hxyy1xjwezl&amp;dl=0","Click to download SizeChart")</f>
      </c>
      <c r="C603" s="0" t="inlineStr">
        <is>
          <t>Amia Women's Crop Short Sleeve Shirt</t>
        </is>
      </c>
      <c r="D603" s="1">
        <v>151973</v>
      </c>
      <c r="E603" s="0" t="inlineStr">
        <is>
          <t>IOWA AMIA W WE:151973C-L</t>
        </is>
      </c>
      <c r="F603" s="2">
        <v>800151973068</v>
      </c>
      <c r="G603" s="0" t="inlineStr">
        <is>
          <t>WOMENS</t>
        </is>
      </c>
      <c r="H603" s="0" t="inlineStr">
        <is>
          <t>L</t>
        </is>
      </c>
      <c r="I603" s="0">
        <v>32.99</v>
      </c>
      <c r="J603" s="0">
        <v>8</v>
      </c>
    </row>
    <row r="604" spans="1:10" customHeight="0">
      <c r="A604" s="0">
        <f>HYPERLINK("https://dl.dropboxusercontent.com/scl/fi/mz9lkr8xkw4dap42z5uur/amia-142127-tn.jpg?rlkey=p1zptqk71ngogo8fx9hnwv34o&amp;dl=0","Click to download Image")</f>
      </c>
      <c r="B604" s="0">
        <f>HYPERLINK("https://dl.dropboxusercontent.com/scl/fi/mfzwkfj3tcfrdgbkl4eb0/womens-t-shirt-size-chartsamia-2024.jpg?rlkey=b9tmp9ffh88y02hxyy1xjwezl&amp;dl=0","Click to download SizeChart")</f>
      </c>
      <c r="C604" s="0" t="inlineStr">
        <is>
          <t>Amia Women's Crop Short Sleeve Shirt</t>
        </is>
      </c>
      <c r="D604" s="1">
        <v>151973</v>
      </c>
      <c r="E604" s="0" t="inlineStr">
        <is>
          <t>IOWA AMIA W WE:151973D-XL</t>
        </is>
      </c>
      <c r="F604" s="2">
        <v>800151973075</v>
      </c>
      <c r="G604" s="0" t="inlineStr">
        <is>
          <t>WOMENS</t>
        </is>
      </c>
      <c r="H604" s="0" t="inlineStr">
        <is>
          <t>XL</t>
        </is>
      </c>
      <c r="I604" s="0">
        <v>32.99</v>
      </c>
      <c r="J604" s="0">
        <v>9</v>
      </c>
    </row>
    <row r="605" spans="1:10" customHeight="0">
      <c r="A605" s="0">
        <f>HYPERLINK("https://dl.dropboxusercontent.com/scl/fi/mz9lkr8xkw4dap42z5uur/amia-142127-tn.jpg?rlkey=p1zptqk71ngogo8fx9hnwv34o&amp;dl=0","Click to download Image")</f>
      </c>
      <c r="B605" s="0">
        <f>HYPERLINK("https://dl.dropboxusercontent.com/scl/fi/mfzwkfj3tcfrdgbkl4eb0/womens-t-shirt-size-chartsamia-2024.jpg?rlkey=b9tmp9ffh88y02hxyy1xjwezl&amp;dl=0","Click to download SizeChart")</f>
      </c>
      <c r="C605" s="0" t="inlineStr">
        <is>
          <t>Amia Women's Crop Short Sleeve Shirt</t>
        </is>
      </c>
      <c r="D605" s="1">
        <v>151973</v>
      </c>
      <c r="E605" s="0" t="inlineStr">
        <is>
          <t>IOWA AMIA W WE:151973E-2XL</t>
        </is>
      </c>
      <c r="F605" s="2">
        <v>800151973082</v>
      </c>
      <c r="G605" s="0" t="inlineStr">
        <is>
          <t>WOMENS</t>
        </is>
      </c>
      <c r="H605" s="0" t="inlineStr">
        <is>
          <t>2XL</t>
        </is>
      </c>
      <c r="I605" s="0">
        <v>34.99</v>
      </c>
      <c r="J605" s="0">
        <v>2</v>
      </c>
    </row>
    <row r="606" spans="1:10" customHeight="0">
      <c r="A606" s="0">
        <f>HYPERLINK("https://dl.dropboxusercontent.com/scl/fi/mz9lkr8xkw4dap42z5uur/amia-142127-tn.jpg?rlkey=p1zptqk71ngogo8fx9hnwv34o&amp;dl=0","Click to download Image")</f>
      </c>
      <c r="B606" s="0">
        <f>HYPERLINK("https://dl.dropboxusercontent.com/scl/fi/mfzwkfj3tcfrdgbkl4eb0/womens-t-shirt-size-chartsamia-2024.jpg?rlkey=b9tmp9ffh88y02hxyy1xjwezl&amp;dl=0","Click to download SizeChart")</f>
      </c>
      <c r="C606" s="0" t="inlineStr">
        <is>
          <t>Amia Women's Crop Short Sleeve Shirt</t>
        </is>
      </c>
      <c r="D606" s="1">
        <v>151973</v>
      </c>
      <c r="E606" s="0" t="inlineStr">
        <is>
          <t>IOWA AMIA W WE:151973F-3XL</t>
        </is>
      </c>
      <c r="F606" s="2">
        <v>800151973099</v>
      </c>
      <c r="G606" s="0" t="inlineStr">
        <is>
          <t>WOMENS</t>
        </is>
      </c>
      <c r="H606" s="0" t="inlineStr">
        <is>
          <t>3XL</t>
        </is>
      </c>
      <c r="I606" s="0">
        <v>34.99</v>
      </c>
      <c r="J606" s="0">
        <v>3</v>
      </c>
    </row>
    <row r="607" spans="1:10" customHeight="0">
      <c r="A607" s="0">
        <f>HYPERLINK("https://dl.dropboxusercontent.com/scl/fi/83yxa088m97lx71nxppua/valor-151611-tn.jpg?rlkey=ou48flhi8g4k42mw117awnh57&amp;dl=0","Click to download Image")</f>
      </c>
      <c r="B607" s="0">
        <f>HYPERLINK("https://dl.dropboxusercontent.com/scl/fi/v76nquhcy38byhzjf16wq/mens-jackets-size-chartsvalor.jpg?rlkey=hxgc3mc1h1okt07o82qx2bq7b&amp;dl=0","Click to download SizeChart")</f>
      </c>
      <c r="C607" s="0" t="inlineStr">
        <is>
          <t>Valor Men's Water Resistant Vest</t>
        </is>
      </c>
      <c r="D607" s="1">
        <v>151611</v>
      </c>
      <c r="E607" s="0" t="inlineStr">
        <is>
          <t>IOWA VALOR M GD:151611A-S</t>
        </is>
      </c>
      <c r="F607" s="2">
        <v>800151611045</v>
      </c>
      <c r="G607" s="0" t="inlineStr">
        <is>
          <t>MENS</t>
        </is>
      </c>
      <c r="H607" s="0" t="inlineStr">
        <is>
          <t>S</t>
        </is>
      </c>
      <c r="I607" s="0">
        <v>79.99</v>
      </c>
      <c r="J607" s="0">
        <v>4</v>
      </c>
    </row>
    <row r="608" spans="1:10" customHeight="0">
      <c r="A608" s="0">
        <f>HYPERLINK("https://dl.dropboxusercontent.com/scl/fi/83yxa088m97lx71nxppua/valor-151611-tn.jpg?rlkey=ou48flhi8g4k42mw117awnh57&amp;dl=0","Click to download Image")</f>
      </c>
      <c r="B608" s="0">
        <f>HYPERLINK("https://dl.dropboxusercontent.com/scl/fi/v76nquhcy38byhzjf16wq/mens-jackets-size-chartsvalor.jpg?rlkey=hxgc3mc1h1okt07o82qx2bq7b&amp;dl=0","Click to download SizeChart")</f>
      </c>
      <c r="C608" s="0" t="inlineStr">
        <is>
          <t>Valor Men's Water Resistant Vest</t>
        </is>
      </c>
      <c r="D608" s="1">
        <v>151611</v>
      </c>
      <c r="E608" s="0" t="inlineStr">
        <is>
          <t>IOWA VALOR M GD:151611B-M</t>
        </is>
      </c>
      <c r="F608" s="2">
        <v>800151611052</v>
      </c>
      <c r="G608" s="0" t="inlineStr">
        <is>
          <t>MENS</t>
        </is>
      </c>
      <c r="H608" s="0" t="inlineStr">
        <is>
          <t>M</t>
        </is>
      </c>
      <c r="I608" s="0">
        <v>79.99</v>
      </c>
      <c r="J608" s="0">
        <v>6</v>
      </c>
    </row>
    <row r="609" spans="1:10" customHeight="0">
      <c r="A609" s="0">
        <f>HYPERLINK("https://dl.dropboxusercontent.com/scl/fi/83yxa088m97lx71nxppua/valor-151611-tn.jpg?rlkey=ou48flhi8g4k42mw117awnh57&amp;dl=0","Click to download Image")</f>
      </c>
      <c r="B609" s="0">
        <f>HYPERLINK("https://dl.dropboxusercontent.com/scl/fi/v76nquhcy38byhzjf16wq/mens-jackets-size-chartsvalor.jpg?rlkey=hxgc3mc1h1okt07o82qx2bq7b&amp;dl=0","Click to download SizeChart")</f>
      </c>
      <c r="C609" s="0" t="inlineStr">
        <is>
          <t>Valor Men's Water Resistant Vest</t>
        </is>
      </c>
      <c r="D609" s="1">
        <v>151611</v>
      </c>
      <c r="E609" s="0" t="inlineStr">
        <is>
          <t>IOWA VALOR M GD:151611C-L</t>
        </is>
      </c>
      <c r="F609" s="2">
        <v>800151611069</v>
      </c>
      <c r="G609" s="0" t="inlineStr">
        <is>
          <t>MENS</t>
        </is>
      </c>
      <c r="H609" s="0" t="inlineStr">
        <is>
          <t>L</t>
        </is>
      </c>
      <c r="I609" s="0">
        <v>79.99</v>
      </c>
      <c r="J609" s="0">
        <v>10</v>
      </c>
    </row>
    <row r="610" spans="1:10" customHeight="0">
      <c r="A610" s="0">
        <f>HYPERLINK("https://dl.dropboxusercontent.com/scl/fi/83yxa088m97lx71nxppua/valor-151611-tn.jpg?rlkey=ou48flhi8g4k42mw117awnh57&amp;dl=0","Click to download Image")</f>
      </c>
      <c r="B610" s="0">
        <f>HYPERLINK("https://dl.dropboxusercontent.com/scl/fi/v76nquhcy38byhzjf16wq/mens-jackets-size-chartsvalor.jpg?rlkey=hxgc3mc1h1okt07o82qx2bq7b&amp;dl=0","Click to download SizeChart")</f>
      </c>
      <c r="C610" s="0" t="inlineStr">
        <is>
          <t>Valor Men's Water Resistant Vest</t>
        </is>
      </c>
      <c r="D610" s="1">
        <v>151611</v>
      </c>
      <c r="E610" s="0" t="inlineStr">
        <is>
          <t>IOWA VALOR M GD:151611D-XL</t>
        </is>
      </c>
      <c r="F610" s="2">
        <v>800151611076</v>
      </c>
      <c r="G610" s="0" t="inlineStr">
        <is>
          <t>MENS</t>
        </is>
      </c>
      <c r="H610" s="0" t="inlineStr">
        <is>
          <t>XL</t>
        </is>
      </c>
      <c r="I610" s="0">
        <v>79.99</v>
      </c>
      <c r="J610" s="0">
        <v>11</v>
      </c>
    </row>
    <row r="611" spans="1:10" customHeight="0">
      <c r="A611" s="0">
        <f>HYPERLINK("https://dl.dropboxusercontent.com/scl/fi/83yxa088m97lx71nxppua/valor-151611-tn.jpg?rlkey=ou48flhi8g4k42mw117awnh57&amp;dl=0","Click to download Image")</f>
      </c>
      <c r="B611" s="0">
        <f>HYPERLINK("https://dl.dropboxusercontent.com/scl/fi/v76nquhcy38byhzjf16wq/mens-jackets-size-chartsvalor.jpg?rlkey=hxgc3mc1h1okt07o82qx2bq7b&amp;dl=0","Click to download SizeChart")</f>
      </c>
      <c r="C611" s="0" t="inlineStr">
        <is>
          <t>Valor Men's Water Resistant Vest</t>
        </is>
      </c>
      <c r="D611" s="1">
        <v>151611</v>
      </c>
      <c r="E611" s="0" t="inlineStr">
        <is>
          <t>IOWA VALOR M GD:151611E-2XL</t>
        </is>
      </c>
      <c r="F611" s="2">
        <v>800151611083</v>
      </c>
      <c r="G611" s="0" t="inlineStr">
        <is>
          <t>MENS</t>
        </is>
      </c>
      <c r="H611" s="0" t="inlineStr">
        <is>
          <t>2XL</t>
        </is>
      </c>
      <c r="I611" s="0">
        <v>79.99</v>
      </c>
      <c r="J611" s="0">
        <v>5</v>
      </c>
    </row>
    <row r="612" spans="1:10" customHeight="0">
      <c r="A612" s="0">
        <f>HYPERLINK("https://dl.dropboxusercontent.com/scl/fi/83yxa088m97lx71nxppua/valor-151611-tn.jpg?rlkey=ou48flhi8g4k42mw117awnh57&amp;dl=0","Click to download Image")</f>
      </c>
      <c r="B612" s="0">
        <f>HYPERLINK("https://dl.dropboxusercontent.com/scl/fi/v76nquhcy38byhzjf16wq/mens-jackets-size-chartsvalor.jpg?rlkey=hxgc3mc1h1okt07o82qx2bq7b&amp;dl=0","Click to download SizeChart")</f>
      </c>
      <c r="C612" s="0" t="inlineStr">
        <is>
          <t>Valor Men's Water Resistant Vest</t>
        </is>
      </c>
      <c r="D612" s="1">
        <v>151611</v>
      </c>
      <c r="E612" s="0" t="inlineStr">
        <is>
          <t>IOWA VALOR M GD:151611F-3XL</t>
        </is>
      </c>
      <c r="F612" s="2">
        <v>800151611090</v>
      </c>
      <c r="G612" s="0" t="inlineStr">
        <is>
          <t>MENS</t>
        </is>
      </c>
      <c r="H612" s="0" t="inlineStr">
        <is>
          <t>3XL</t>
        </is>
      </c>
      <c r="I612" s="0">
        <v>79.99</v>
      </c>
      <c r="J612" s="0">
        <v>4</v>
      </c>
    </row>
    <row r="613" spans="1:10" customHeight="0">
      <c r="A613" s="0">
        <f>HYPERLINK("https://dl.dropboxusercontent.com/scl/fi/83yxa088m97lx71nxppua/valor-151611-tn.jpg?rlkey=ou48flhi8g4k42mw117awnh57&amp;dl=0","Click to download Image")</f>
      </c>
      <c r="B613" s="0">
        <f>HYPERLINK("https://dl.dropboxusercontent.com/scl/fi/v76nquhcy38byhzjf16wq/mens-jackets-size-chartsvalor.jpg?rlkey=hxgc3mc1h1okt07o82qx2bq7b&amp;dl=0","Click to download SizeChart")</f>
      </c>
      <c r="C613" s="0" t="inlineStr">
        <is>
          <t>Valor Men's Water Resistant Vest</t>
        </is>
      </c>
      <c r="D613" s="1">
        <v>151611</v>
      </c>
      <c r="E613" s="0" t="inlineStr">
        <is>
          <t>IOWA VALOR M GD:151611Z-12PK</t>
        </is>
      </c>
      <c r="F613" s="2">
        <v>800151611991</v>
      </c>
      <c r="G613" s="0" t="inlineStr">
        <is>
          <t>MENS</t>
        </is>
      </c>
      <c r="H613" s="0" t="inlineStr">
        <is>
          <t>12 PACK</t>
        </is>
      </c>
      <c r="I613" s="0">
        <v>774</v>
      </c>
      <c r="J613" s="0">
        <v>0</v>
      </c>
    </row>
    <row r="614" spans="1:10" customHeight="0">
      <c r="A614" s="0">
        <f>HYPERLINK("https://dl.dropboxusercontent.com/scl/fi/gkhduuuw4u0qn285jebqf/editdsc8981-copy.jpg?rlkey=cszi0sck5569aatsca6iy1fd1&amp;dl=0","Click to download Image")</f>
      </c>
      <c r="B614" s="0">
        <f>HYPERLINK("https://dl.dropboxusercontent.com/scl/fi/0dbhzit5fgyym49mwuqnm/mens-jackets-size-chartsgranger.jpg?rlkey=8bg9w0j24k2gd2z65c1qnc9bn&amp;dl=0","Click to download SizeChart")</f>
      </c>
      <c r="C614" s="0" t="inlineStr">
        <is>
          <t>Granger Men's Jacket</t>
        </is>
      </c>
      <c r="D614" s="1">
        <v>144843</v>
      </c>
      <c r="E614" s="0" t="inlineStr">
        <is>
          <t>IOWA GRANGE M BK:144843A-S</t>
        </is>
      </c>
      <c r="F614" s="2">
        <v>800144843040</v>
      </c>
      <c r="G614" s="0" t="inlineStr">
        <is>
          <t>MENS</t>
        </is>
      </c>
      <c r="H614" s="0" t="inlineStr">
        <is>
          <t>S</t>
        </is>
      </c>
      <c r="I614" s="0">
        <v>139.99</v>
      </c>
      <c r="J614" s="0">
        <v>5</v>
      </c>
    </row>
    <row r="615" spans="1:10" customHeight="0">
      <c r="A615" s="0">
        <f>HYPERLINK("https://dl.dropboxusercontent.com/scl/fi/gkhduuuw4u0qn285jebqf/editdsc8981-copy.jpg?rlkey=cszi0sck5569aatsca6iy1fd1&amp;dl=0","Click to download Image")</f>
      </c>
      <c r="B615" s="0">
        <f>HYPERLINK("https://dl.dropboxusercontent.com/scl/fi/0dbhzit5fgyym49mwuqnm/mens-jackets-size-chartsgranger.jpg?rlkey=8bg9w0j24k2gd2z65c1qnc9bn&amp;dl=0","Click to download SizeChart")</f>
      </c>
      <c r="C615" s="0" t="inlineStr">
        <is>
          <t>Granger Men's Jacket</t>
        </is>
      </c>
      <c r="D615" s="1">
        <v>144843</v>
      </c>
      <c r="E615" s="0" t="inlineStr">
        <is>
          <t>IOWA GRANGE M BK:144843B-M</t>
        </is>
      </c>
      <c r="F615" s="2">
        <v>800144843057</v>
      </c>
      <c r="G615" s="0" t="inlineStr">
        <is>
          <t>MENS</t>
        </is>
      </c>
      <c r="H615" s="0" t="inlineStr">
        <is>
          <t>M</t>
        </is>
      </c>
      <c r="I615" s="0">
        <v>139.99</v>
      </c>
      <c r="J615" s="0">
        <v>10</v>
      </c>
    </row>
    <row r="616" spans="1:10" customHeight="0">
      <c r="A616" s="0">
        <f>HYPERLINK("https://dl.dropboxusercontent.com/scl/fi/gkhduuuw4u0qn285jebqf/editdsc8981-copy.jpg?rlkey=cszi0sck5569aatsca6iy1fd1&amp;dl=0","Click to download Image")</f>
      </c>
      <c r="B616" s="0">
        <f>HYPERLINK("https://dl.dropboxusercontent.com/scl/fi/0dbhzit5fgyym49mwuqnm/mens-jackets-size-chartsgranger.jpg?rlkey=8bg9w0j24k2gd2z65c1qnc9bn&amp;dl=0","Click to download SizeChart")</f>
      </c>
      <c r="C616" s="0" t="inlineStr">
        <is>
          <t>Granger Men's Jacket</t>
        </is>
      </c>
      <c r="D616" s="1">
        <v>144843</v>
      </c>
      <c r="E616" s="0" t="inlineStr">
        <is>
          <t>IOWA GRANGE M BK:144843C-L</t>
        </is>
      </c>
      <c r="F616" s="2">
        <v>800144843064</v>
      </c>
      <c r="G616" s="0" t="inlineStr">
        <is>
          <t>MENS</t>
        </is>
      </c>
      <c r="H616" s="0" t="inlineStr">
        <is>
          <t>L</t>
        </is>
      </c>
      <c r="I616" s="0">
        <v>139.99</v>
      </c>
      <c r="J616" s="0">
        <v>13</v>
      </c>
    </row>
    <row r="617" spans="1:10" customHeight="0">
      <c r="A617" s="0">
        <f>HYPERLINK("https://dl.dropboxusercontent.com/scl/fi/gkhduuuw4u0qn285jebqf/editdsc8981-copy.jpg?rlkey=cszi0sck5569aatsca6iy1fd1&amp;dl=0","Click to download Image")</f>
      </c>
      <c r="B617" s="0">
        <f>HYPERLINK("https://dl.dropboxusercontent.com/scl/fi/0dbhzit5fgyym49mwuqnm/mens-jackets-size-chartsgranger.jpg?rlkey=8bg9w0j24k2gd2z65c1qnc9bn&amp;dl=0","Click to download SizeChart")</f>
      </c>
      <c r="C617" s="0" t="inlineStr">
        <is>
          <t>Granger Men's Jacket</t>
        </is>
      </c>
      <c r="D617" s="1">
        <v>144843</v>
      </c>
      <c r="E617" s="0" t="inlineStr">
        <is>
          <t>IOWA GRANGE M BK:144843D-XL</t>
        </is>
      </c>
      <c r="F617" s="2">
        <v>800144843071</v>
      </c>
      <c r="G617" s="0" t="inlineStr">
        <is>
          <t>MENS</t>
        </is>
      </c>
      <c r="H617" s="0" t="inlineStr">
        <is>
          <t>XL</t>
        </is>
      </c>
      <c r="I617" s="0">
        <v>139.99</v>
      </c>
      <c r="J617" s="0">
        <v>15</v>
      </c>
    </row>
    <row r="618" spans="1:10" customHeight="0">
      <c r="A618" s="0">
        <f>HYPERLINK("https://dl.dropboxusercontent.com/scl/fi/gkhduuuw4u0qn285jebqf/editdsc8981-copy.jpg?rlkey=cszi0sck5569aatsca6iy1fd1&amp;dl=0","Click to download Image")</f>
      </c>
      <c r="B618" s="0">
        <f>HYPERLINK("https://dl.dropboxusercontent.com/scl/fi/0dbhzit5fgyym49mwuqnm/mens-jackets-size-chartsgranger.jpg?rlkey=8bg9w0j24k2gd2z65c1qnc9bn&amp;dl=0","Click to download SizeChart")</f>
      </c>
      <c r="C618" s="0" t="inlineStr">
        <is>
          <t>Granger Men's Jacket</t>
        </is>
      </c>
      <c r="D618" s="1">
        <v>144843</v>
      </c>
      <c r="E618" s="0" t="inlineStr">
        <is>
          <t>IOWA GRANGE M BK:144843E-2XL</t>
        </is>
      </c>
      <c r="F618" s="2">
        <v>800144843088</v>
      </c>
      <c r="G618" s="0" t="inlineStr">
        <is>
          <t>MENS</t>
        </is>
      </c>
      <c r="H618" s="0" t="inlineStr">
        <is>
          <t>2XL</t>
        </is>
      </c>
      <c r="I618" s="0">
        <v>139.99</v>
      </c>
      <c r="J618" s="0">
        <v>10</v>
      </c>
    </row>
    <row r="619" spans="1:10" customHeight="0">
      <c r="A619" s="0">
        <f>HYPERLINK("https://dl.dropboxusercontent.com/scl/fi/gkhduuuw4u0qn285jebqf/editdsc8981-copy.jpg?rlkey=cszi0sck5569aatsca6iy1fd1&amp;dl=0","Click to download Image")</f>
      </c>
      <c r="B619" s="0">
        <f>HYPERLINK("https://dl.dropboxusercontent.com/scl/fi/0dbhzit5fgyym49mwuqnm/mens-jackets-size-chartsgranger.jpg?rlkey=8bg9w0j24k2gd2z65c1qnc9bn&amp;dl=0","Click to download SizeChart")</f>
      </c>
      <c r="C619" s="0" t="inlineStr">
        <is>
          <t>Granger Men's Jacket</t>
        </is>
      </c>
      <c r="D619" s="1">
        <v>144843</v>
      </c>
      <c r="E619" s="0" t="inlineStr">
        <is>
          <t>IOWA GRANGE M BK:144843F-3XL</t>
        </is>
      </c>
      <c r="F619" s="2">
        <v>800144843095</v>
      </c>
      <c r="G619" s="0" t="inlineStr">
        <is>
          <t>MENS</t>
        </is>
      </c>
      <c r="H619" s="0" t="inlineStr">
        <is>
          <t>3XL</t>
        </is>
      </c>
      <c r="I619" s="0">
        <v>139.99</v>
      </c>
      <c r="J619" s="0">
        <v>5</v>
      </c>
    </row>
    <row r="620" spans="1:10" customHeight="0">
      <c r="A620" s="0">
        <f>HYPERLINK("https://dl.dropboxusercontent.com/scl/fi/gkhduuuw4u0qn285jebqf/editdsc8981-copy.jpg?rlkey=cszi0sck5569aatsca6iy1fd1&amp;dl=0","Click to download Image")</f>
      </c>
      <c r="B620" s="0">
        <f>HYPERLINK("https://dl.dropboxusercontent.com/scl/fi/0dbhzit5fgyym49mwuqnm/mens-jackets-size-chartsgranger.jpg?rlkey=8bg9w0j24k2gd2z65c1qnc9bn&amp;dl=0","Click to download SizeChart")</f>
      </c>
      <c r="C620" s="0" t="inlineStr">
        <is>
          <t>Granger Men's Jacket</t>
        </is>
      </c>
      <c r="D620" s="1">
        <v>144843</v>
      </c>
      <c r="E620" s="0" t="inlineStr">
        <is>
          <t>IOWA GRANGE M BK:144843Z-12PK</t>
        </is>
      </c>
      <c r="F620" s="2">
        <v>800144843996</v>
      </c>
      <c r="G620" s="0" t="inlineStr">
        <is>
          <t>MENS</t>
        </is>
      </c>
      <c r="H620" s="0" t="inlineStr">
        <is>
          <t>12 PACK</t>
        </is>
      </c>
      <c r="I620" s="0">
        <v>1350</v>
      </c>
      <c r="J620" s="0">
        <v>0</v>
      </c>
    </row>
    <row r="621" spans="1:10" customHeight="0">
      <c r="A621" s="0">
        <f>HYPERLINK("https://dl.dropboxusercontent.com/scl/fi/pwa4j9be3qynald5x6zdf/ace-151428-tn.jpg?rlkey=cw73mkm8m036qkd86w7tu5icm&amp;dl=0","Click to download Image")</f>
      </c>
      <c r="B621" s="0">
        <f>HYPERLINK("https://dl.dropboxusercontent.com/scl/fi/9mp3zkb1gs3g59ughk4rm/mens-hoodie-size-chartsace.jpg?rlkey=puk66v0cf96z3v89tdsf2knih&amp;dl=0","Click to download SizeChart")</f>
      </c>
      <c r="C621" s="0" t="inlineStr">
        <is>
          <t>Ace Men's Hoodie</t>
        </is>
      </c>
      <c r="D621" s="1">
        <v>151428</v>
      </c>
      <c r="E621" s="0" t="inlineStr">
        <is>
          <t>IOWA ACE M BK:151428A-S</t>
        </is>
      </c>
      <c r="F621" s="2">
        <v>800151428049</v>
      </c>
      <c r="G621" s="0" t="inlineStr">
        <is>
          <t>MENS</t>
        </is>
      </c>
      <c r="H621" s="0" t="inlineStr">
        <is>
          <t>S</t>
        </is>
      </c>
      <c r="I621" s="0">
        <v>54.99</v>
      </c>
      <c r="J621" s="0">
        <v>3</v>
      </c>
    </row>
    <row r="622" spans="1:10" customHeight="0">
      <c r="A622" s="0">
        <f>HYPERLINK("https://dl.dropboxusercontent.com/scl/fi/pwa4j9be3qynald5x6zdf/ace-151428-tn.jpg?rlkey=cw73mkm8m036qkd86w7tu5icm&amp;dl=0","Click to download Image")</f>
      </c>
      <c r="B622" s="0">
        <f>HYPERLINK("https://dl.dropboxusercontent.com/scl/fi/9mp3zkb1gs3g59ughk4rm/mens-hoodie-size-chartsace.jpg?rlkey=puk66v0cf96z3v89tdsf2knih&amp;dl=0","Click to download SizeChart")</f>
      </c>
      <c r="C622" s="0" t="inlineStr">
        <is>
          <t>Ace Men's Hoodie</t>
        </is>
      </c>
      <c r="D622" s="1">
        <v>151428</v>
      </c>
      <c r="E622" s="0" t="inlineStr">
        <is>
          <t>IOWA ACE M BK:151428B-M</t>
        </is>
      </c>
      <c r="F622" s="2">
        <v>800151428056</v>
      </c>
      <c r="G622" s="0" t="inlineStr">
        <is>
          <t>MENS</t>
        </is>
      </c>
      <c r="H622" s="0" t="inlineStr">
        <is>
          <t>M</t>
        </is>
      </c>
      <c r="I622" s="0">
        <v>54.99</v>
      </c>
      <c r="J622" s="0">
        <v>5</v>
      </c>
    </row>
    <row r="623" spans="1:10" customHeight="0">
      <c r="A623" s="0">
        <f>HYPERLINK("https://dl.dropboxusercontent.com/scl/fi/pwa4j9be3qynald5x6zdf/ace-151428-tn.jpg?rlkey=cw73mkm8m036qkd86w7tu5icm&amp;dl=0","Click to download Image")</f>
      </c>
      <c r="B623" s="0">
        <f>HYPERLINK("https://dl.dropboxusercontent.com/scl/fi/9mp3zkb1gs3g59ughk4rm/mens-hoodie-size-chartsace.jpg?rlkey=puk66v0cf96z3v89tdsf2knih&amp;dl=0","Click to download SizeChart")</f>
      </c>
      <c r="C623" s="0" t="inlineStr">
        <is>
          <t>Ace Men's Hoodie</t>
        </is>
      </c>
      <c r="D623" s="1">
        <v>151428</v>
      </c>
      <c r="E623" s="0" t="inlineStr">
        <is>
          <t>IOWA ACE M BK:151428C-L</t>
        </is>
      </c>
      <c r="F623" s="2">
        <v>800151428063</v>
      </c>
      <c r="G623" s="0" t="inlineStr">
        <is>
          <t>MENS</t>
        </is>
      </c>
      <c r="H623" s="0" t="inlineStr">
        <is>
          <t>L</t>
        </is>
      </c>
      <c r="I623" s="0">
        <v>54.99</v>
      </c>
      <c r="J623" s="0">
        <v>8</v>
      </c>
    </row>
    <row r="624" spans="1:10" customHeight="0">
      <c r="A624" s="0">
        <f>HYPERLINK("https://dl.dropboxusercontent.com/scl/fi/pwa4j9be3qynald5x6zdf/ace-151428-tn.jpg?rlkey=cw73mkm8m036qkd86w7tu5icm&amp;dl=0","Click to download Image")</f>
      </c>
      <c r="B624" s="0">
        <f>HYPERLINK("https://dl.dropboxusercontent.com/scl/fi/9mp3zkb1gs3g59ughk4rm/mens-hoodie-size-chartsace.jpg?rlkey=puk66v0cf96z3v89tdsf2knih&amp;dl=0","Click to download SizeChart")</f>
      </c>
      <c r="C624" s="0" t="inlineStr">
        <is>
          <t>Ace Men's Hoodie</t>
        </is>
      </c>
      <c r="D624" s="1">
        <v>151428</v>
      </c>
      <c r="E624" s="0" t="inlineStr">
        <is>
          <t>IOWA ACE M BK:151428D-XL</t>
        </is>
      </c>
      <c r="F624" s="2">
        <v>800151428070</v>
      </c>
      <c r="G624" s="0" t="inlineStr">
        <is>
          <t>MENS</t>
        </is>
      </c>
      <c r="H624" s="0" t="inlineStr">
        <is>
          <t>XL</t>
        </is>
      </c>
      <c r="I624" s="0">
        <v>54.99</v>
      </c>
      <c r="J624" s="0">
        <v>7</v>
      </c>
    </row>
    <row r="625" spans="1:10" customHeight="0">
      <c r="A625" s="0">
        <f>HYPERLINK("https://dl.dropboxusercontent.com/scl/fi/pwa4j9be3qynald5x6zdf/ace-151428-tn.jpg?rlkey=cw73mkm8m036qkd86w7tu5icm&amp;dl=0","Click to download Image")</f>
      </c>
      <c r="B625" s="0">
        <f>HYPERLINK("https://dl.dropboxusercontent.com/scl/fi/9mp3zkb1gs3g59ughk4rm/mens-hoodie-size-chartsace.jpg?rlkey=puk66v0cf96z3v89tdsf2knih&amp;dl=0","Click to download SizeChart")</f>
      </c>
      <c r="C625" s="0" t="inlineStr">
        <is>
          <t>Ace Men's Hoodie</t>
        </is>
      </c>
      <c r="D625" s="1">
        <v>151428</v>
      </c>
      <c r="E625" s="0" t="inlineStr">
        <is>
          <t>IOWA ACE M BK:151428E-2XL</t>
        </is>
      </c>
      <c r="F625" s="2">
        <v>800151428087</v>
      </c>
      <c r="G625" s="0" t="inlineStr">
        <is>
          <t>MENS</t>
        </is>
      </c>
      <c r="H625" s="0" t="inlineStr">
        <is>
          <t>2XL</t>
        </is>
      </c>
      <c r="I625" s="0">
        <v>54.99</v>
      </c>
      <c r="J625" s="0">
        <v>6</v>
      </c>
    </row>
    <row r="626" spans="1:10" customHeight="0">
      <c r="A626" s="0">
        <f>HYPERLINK("https://dl.dropboxusercontent.com/scl/fi/pwa4j9be3qynald5x6zdf/ace-151428-tn.jpg?rlkey=cw73mkm8m036qkd86w7tu5icm&amp;dl=0","Click to download Image")</f>
      </c>
      <c r="B626" s="0">
        <f>HYPERLINK("https://dl.dropboxusercontent.com/scl/fi/9mp3zkb1gs3g59ughk4rm/mens-hoodie-size-chartsace.jpg?rlkey=puk66v0cf96z3v89tdsf2knih&amp;dl=0","Click to download SizeChart")</f>
      </c>
      <c r="C626" s="0" t="inlineStr">
        <is>
          <t>Ace Men's Hoodie</t>
        </is>
      </c>
      <c r="D626" s="1">
        <v>151428</v>
      </c>
      <c r="E626" s="0" t="inlineStr">
        <is>
          <t>IOWA ACE M BK:151428F-3XL</t>
        </is>
      </c>
      <c r="F626" s="2">
        <v>800151428094</v>
      </c>
      <c r="G626" s="0" t="inlineStr">
        <is>
          <t>MENS</t>
        </is>
      </c>
      <c r="H626" s="0" t="inlineStr">
        <is>
          <t>3XL</t>
        </is>
      </c>
      <c r="I626" s="0">
        <v>54.99</v>
      </c>
      <c r="J626" s="0">
        <v>1</v>
      </c>
    </row>
    <row r="627" spans="1:10" customHeight="0">
      <c r="A627" s="0">
        <f>HYPERLINK("https://dl.dropboxusercontent.com/scl/fi/pwa4j9be3qynald5x6zdf/ace-151428-tn.jpg?rlkey=cw73mkm8m036qkd86w7tu5icm&amp;dl=0","Click to download Image")</f>
      </c>
      <c r="B627" s="0">
        <f>HYPERLINK("https://dl.dropboxusercontent.com/scl/fi/9mp3zkb1gs3g59ughk4rm/mens-hoodie-size-chartsace.jpg?rlkey=puk66v0cf96z3v89tdsf2knih&amp;dl=0","Click to download SizeChart")</f>
      </c>
      <c r="C627" s="0" t="inlineStr">
        <is>
          <t>Ace Men's Hoodie</t>
        </is>
      </c>
      <c r="D627" s="1">
        <v>151428</v>
      </c>
      <c r="E627" s="0" t="inlineStr">
        <is>
          <t>IOWA ACE M BK:151428Z-12PK</t>
        </is>
      </c>
      <c r="F627" s="2">
        <v>800151428995</v>
      </c>
      <c r="G627" s="0" t="inlineStr">
        <is>
          <t>MENS</t>
        </is>
      </c>
      <c r="H627" s="0" t="inlineStr">
        <is>
          <t>12 PACK</t>
        </is>
      </c>
      <c r="I627" s="0">
        <v>630</v>
      </c>
      <c r="J627" s="0">
        <v>0</v>
      </c>
    </row>
    <row r="628" spans="1:10" customHeight="0">
      <c r="A628" s="0">
        <f>HYPERLINK("https://dl.dropboxusercontent.com/scl/fi/60w5x0mq0gggyjraqhxy7/prima-151625-tn.jpg?rlkey=xjy3l59p4ahuf0wpanufv57c6&amp;dl=0","Click to download Image")</f>
      </c>
      <c r="B628" s="0">
        <f>HYPERLINK("https://dl.dropboxusercontent.com/scl/fi/h7dkwbai828ii11gl1fy2/mens-jackets-size-chartsprima.jpg?rlkey=gt0agq00d2n3och7wr80bt15s&amp;dl=0","Click to download SizeChart")</f>
      </c>
      <c r="C628" s="0" t="inlineStr">
        <is>
          <t>Prima Men's Jacket</t>
        </is>
      </c>
      <c r="D628" s="1">
        <v>151625</v>
      </c>
      <c r="E628" s="0" t="inlineStr">
        <is>
          <t>IOWA PRIMA M GD:151625A-S</t>
        </is>
      </c>
      <c r="F628" s="2">
        <v>800151625042</v>
      </c>
      <c r="G628" s="0" t="inlineStr">
        <is>
          <t>MENS</t>
        </is>
      </c>
      <c r="H628" s="0" t="inlineStr">
        <is>
          <t>S</t>
        </is>
      </c>
      <c r="I628" s="0">
        <v>149.99</v>
      </c>
      <c r="J628" s="0">
        <v>9</v>
      </c>
    </row>
    <row r="629" spans="1:10" customHeight="0">
      <c r="A629" s="0">
        <f>HYPERLINK("https://dl.dropboxusercontent.com/scl/fi/60w5x0mq0gggyjraqhxy7/prima-151625-tn.jpg?rlkey=xjy3l59p4ahuf0wpanufv57c6&amp;dl=0","Click to download Image")</f>
      </c>
      <c r="B629" s="0">
        <f>HYPERLINK("https://dl.dropboxusercontent.com/scl/fi/h7dkwbai828ii11gl1fy2/mens-jackets-size-chartsprima.jpg?rlkey=gt0agq00d2n3och7wr80bt15s&amp;dl=0","Click to download SizeChart")</f>
      </c>
      <c r="C629" s="0" t="inlineStr">
        <is>
          <t>Prima Men's Jacket</t>
        </is>
      </c>
      <c r="D629" s="1">
        <v>151625</v>
      </c>
      <c r="E629" s="0" t="inlineStr">
        <is>
          <t>IOWA PRIMA M GD:151625B-M</t>
        </is>
      </c>
      <c r="F629" s="2">
        <v>800151625059</v>
      </c>
      <c r="G629" s="0" t="inlineStr">
        <is>
          <t>MENS</t>
        </is>
      </c>
      <c r="H629" s="0" t="inlineStr">
        <is>
          <t>M</t>
        </is>
      </c>
      <c r="I629" s="0">
        <v>149.99</v>
      </c>
      <c r="J629" s="0">
        <v>18</v>
      </c>
    </row>
    <row r="630" spans="1:10" customHeight="0">
      <c r="A630" s="0">
        <f>HYPERLINK("https://dl.dropboxusercontent.com/scl/fi/60w5x0mq0gggyjraqhxy7/prima-151625-tn.jpg?rlkey=xjy3l59p4ahuf0wpanufv57c6&amp;dl=0","Click to download Image")</f>
      </c>
      <c r="B630" s="0">
        <f>HYPERLINK("https://dl.dropboxusercontent.com/scl/fi/h7dkwbai828ii11gl1fy2/mens-jackets-size-chartsprima.jpg?rlkey=gt0agq00d2n3och7wr80bt15s&amp;dl=0","Click to download SizeChart")</f>
      </c>
      <c r="C630" s="0" t="inlineStr">
        <is>
          <t>Prima Men's Jacket</t>
        </is>
      </c>
      <c r="D630" s="1">
        <v>151625</v>
      </c>
      <c r="E630" s="0" t="inlineStr">
        <is>
          <t>IOWA PRIMA M GD:151625C-L</t>
        </is>
      </c>
      <c r="F630" s="2">
        <v>800151625066</v>
      </c>
      <c r="G630" s="0" t="inlineStr">
        <is>
          <t>MENS</t>
        </is>
      </c>
      <c r="H630" s="0" t="inlineStr">
        <is>
          <t>L</t>
        </is>
      </c>
      <c r="I630" s="0">
        <v>149.99</v>
      </c>
      <c r="J630" s="0">
        <v>21</v>
      </c>
    </row>
    <row r="631" spans="1:10" customHeight="0">
      <c r="A631" s="0">
        <f>HYPERLINK("https://dl.dropboxusercontent.com/scl/fi/60w5x0mq0gggyjraqhxy7/prima-151625-tn.jpg?rlkey=xjy3l59p4ahuf0wpanufv57c6&amp;dl=0","Click to download Image")</f>
      </c>
      <c r="B631" s="0">
        <f>HYPERLINK("https://dl.dropboxusercontent.com/scl/fi/h7dkwbai828ii11gl1fy2/mens-jackets-size-chartsprima.jpg?rlkey=gt0agq00d2n3och7wr80bt15s&amp;dl=0","Click to download SizeChart")</f>
      </c>
      <c r="C631" s="0" t="inlineStr">
        <is>
          <t>Prima Men's Jacket</t>
        </is>
      </c>
      <c r="D631" s="1">
        <v>151625</v>
      </c>
      <c r="E631" s="0" t="inlineStr">
        <is>
          <t>IOWA PRIMA M GD:151625D-XL</t>
        </is>
      </c>
      <c r="F631" s="2">
        <v>800151625073</v>
      </c>
      <c r="G631" s="0" t="inlineStr">
        <is>
          <t>MENS</t>
        </is>
      </c>
      <c r="H631" s="0" t="inlineStr">
        <is>
          <t>XL</t>
        </is>
      </c>
      <c r="I631" s="0">
        <v>149.99</v>
      </c>
      <c r="J631" s="0">
        <v>22</v>
      </c>
    </row>
    <row r="632" spans="1:10" customHeight="0">
      <c r="A632" s="0">
        <f>HYPERLINK("https://dl.dropboxusercontent.com/scl/fi/60w5x0mq0gggyjraqhxy7/prima-151625-tn.jpg?rlkey=xjy3l59p4ahuf0wpanufv57c6&amp;dl=0","Click to download Image")</f>
      </c>
      <c r="B632" s="0">
        <f>HYPERLINK("https://dl.dropboxusercontent.com/scl/fi/h7dkwbai828ii11gl1fy2/mens-jackets-size-chartsprima.jpg?rlkey=gt0agq00d2n3och7wr80bt15s&amp;dl=0","Click to download SizeChart")</f>
      </c>
      <c r="C632" s="0" t="inlineStr">
        <is>
          <t>Prima Men's Jacket</t>
        </is>
      </c>
      <c r="D632" s="1">
        <v>151625</v>
      </c>
      <c r="E632" s="0" t="inlineStr">
        <is>
          <t>IOWA PRIMA M GD:151625E-2XL</t>
        </is>
      </c>
      <c r="F632" s="2">
        <v>800151625080</v>
      </c>
      <c r="G632" s="0" t="inlineStr">
        <is>
          <t>MENS</t>
        </is>
      </c>
      <c r="H632" s="0" t="inlineStr">
        <is>
          <t>2XL</t>
        </is>
      </c>
      <c r="I632" s="0">
        <v>149.99</v>
      </c>
      <c r="J632" s="0">
        <v>16</v>
      </c>
    </row>
    <row r="633" spans="1:10" customHeight="0">
      <c r="A633" s="0">
        <f>HYPERLINK("https://dl.dropboxusercontent.com/scl/fi/60w5x0mq0gggyjraqhxy7/prima-151625-tn.jpg?rlkey=xjy3l59p4ahuf0wpanufv57c6&amp;dl=0","Click to download Image")</f>
      </c>
      <c r="B633" s="0">
        <f>HYPERLINK("https://dl.dropboxusercontent.com/scl/fi/h7dkwbai828ii11gl1fy2/mens-jackets-size-chartsprima.jpg?rlkey=gt0agq00d2n3och7wr80bt15s&amp;dl=0","Click to download SizeChart")</f>
      </c>
      <c r="C633" s="0" t="inlineStr">
        <is>
          <t>Prima Men's Jacket</t>
        </is>
      </c>
      <c r="D633" s="1">
        <v>151625</v>
      </c>
      <c r="E633" s="0" t="inlineStr">
        <is>
          <t>IOWA PRIMA M GD:151625F-3XL</t>
        </is>
      </c>
      <c r="F633" s="2">
        <v>800151625097</v>
      </c>
      <c r="G633" s="0" t="inlineStr">
        <is>
          <t>MENS</t>
        </is>
      </c>
      <c r="H633" s="0" t="inlineStr">
        <is>
          <t>3XL</t>
        </is>
      </c>
      <c r="I633" s="0">
        <v>149.99</v>
      </c>
      <c r="J633" s="0">
        <v>9</v>
      </c>
    </row>
    <row r="634" spans="1:10" customHeight="0">
      <c r="A634" s="0">
        <f>HYPERLINK("https://dl.dropboxusercontent.com/scl/fi/60w5x0mq0gggyjraqhxy7/prima-151625-tn.jpg?rlkey=xjy3l59p4ahuf0wpanufv57c6&amp;dl=0","Click to download Image")</f>
      </c>
      <c r="B634" s="0">
        <f>HYPERLINK("https://dl.dropboxusercontent.com/scl/fi/h7dkwbai828ii11gl1fy2/mens-jackets-size-chartsprima.jpg?rlkey=gt0agq00d2n3och7wr80bt15s&amp;dl=0","Click to download SizeChart")</f>
      </c>
      <c r="C634" s="0" t="inlineStr">
        <is>
          <t>Prima Men's Jacket</t>
        </is>
      </c>
      <c r="D634" s="1">
        <v>151625</v>
      </c>
      <c r="E634" s="0" t="inlineStr">
        <is>
          <t>IOWA PRIMA M GD:151625Z-12PK</t>
        </is>
      </c>
      <c r="F634" s="2">
        <v>800151625998</v>
      </c>
      <c r="G634" s="0" t="inlineStr">
        <is>
          <t>MENS</t>
        </is>
      </c>
      <c r="H634" s="0" t="inlineStr">
        <is>
          <t>12 PACK</t>
        </is>
      </c>
      <c r="I634" s="0">
        <v>1446</v>
      </c>
      <c r="J634" s="0">
        <v>0</v>
      </c>
    </row>
    <row r="635" spans="1:10" customHeight="0">
      <c r="A635" s="0">
        <f>HYPERLINK("https://dl.dropboxusercontent.com/scl/fi/39myanxxcxxz19sfinhhs/dsc9033-copy.jpg?rlkey=tm88w4eqmvbzrl24vvjz57ti2&amp;dl=0","Click to download Image")</f>
      </c>
      <c r="B635" s="0">
        <f>HYPERLINK("https://dl.dropboxusercontent.com/scl/fi/no8us6enbrba11g9kgvaj/womens-size-chartsvalor.jpg?rlkey=xb1ozsyqfm8jg6vc53z7ygj5y&amp;dl=0","Click to download SizeChart")</f>
      </c>
      <c r="C635" s="0" t="inlineStr">
        <is>
          <t>Valor Women's Water Resistant Vest</t>
        </is>
      </c>
      <c r="D635" s="1">
        <v>150414</v>
      </c>
      <c r="E635" s="0" t="inlineStr">
        <is>
          <t>IOWA VALOR W GD:150414A-S</t>
        </is>
      </c>
      <c r="F635" s="2">
        <v>800150414043</v>
      </c>
      <c r="G635" s="0" t="inlineStr">
        <is>
          <t>WOMENS</t>
        </is>
      </c>
      <c r="H635" s="0" t="inlineStr">
        <is>
          <t>S</t>
        </is>
      </c>
      <c r="I635" s="0">
        <v>79.99</v>
      </c>
      <c r="J635" s="0">
        <v>1</v>
      </c>
    </row>
    <row r="636" spans="1:10" customHeight="0">
      <c r="A636" s="0">
        <f>HYPERLINK("https://dl.dropboxusercontent.com/scl/fi/39myanxxcxxz19sfinhhs/dsc9033-copy.jpg?rlkey=tm88w4eqmvbzrl24vvjz57ti2&amp;dl=0","Click to download Image")</f>
      </c>
      <c r="B636" s="0">
        <f>HYPERLINK("https://dl.dropboxusercontent.com/scl/fi/no8us6enbrba11g9kgvaj/womens-size-chartsvalor.jpg?rlkey=xb1ozsyqfm8jg6vc53z7ygj5y&amp;dl=0","Click to download SizeChart")</f>
      </c>
      <c r="C636" s="0" t="inlineStr">
        <is>
          <t>Valor Women's Water Resistant Vest</t>
        </is>
      </c>
      <c r="D636" s="1">
        <v>150414</v>
      </c>
      <c r="E636" s="0" t="inlineStr">
        <is>
          <t>IOWA VALOR W GD:150414B-M</t>
        </is>
      </c>
      <c r="F636" s="2">
        <v>800150414050</v>
      </c>
      <c r="G636" s="0" t="inlineStr">
        <is>
          <t>WOMENS</t>
        </is>
      </c>
      <c r="H636" s="0" t="inlineStr">
        <is>
          <t>M</t>
        </is>
      </c>
      <c r="I636" s="0">
        <v>79.99</v>
      </c>
      <c r="J636" s="0">
        <v>5</v>
      </c>
    </row>
    <row r="637" spans="1:10" customHeight="0">
      <c r="A637" s="0">
        <f>HYPERLINK("https://dl.dropboxusercontent.com/scl/fi/39myanxxcxxz19sfinhhs/dsc9033-copy.jpg?rlkey=tm88w4eqmvbzrl24vvjz57ti2&amp;dl=0","Click to download Image")</f>
      </c>
      <c r="B637" s="0">
        <f>HYPERLINK("https://dl.dropboxusercontent.com/scl/fi/no8us6enbrba11g9kgvaj/womens-size-chartsvalor.jpg?rlkey=xb1ozsyqfm8jg6vc53z7ygj5y&amp;dl=0","Click to download SizeChart")</f>
      </c>
      <c r="C637" s="0" t="inlineStr">
        <is>
          <t>Valor Women's Water Resistant Vest</t>
        </is>
      </c>
      <c r="D637" s="1">
        <v>150414</v>
      </c>
      <c r="E637" s="0" t="inlineStr">
        <is>
          <t>IOWA VALOR W GD:150414C-L</t>
        </is>
      </c>
      <c r="F637" s="2">
        <v>800150414067</v>
      </c>
      <c r="G637" s="0" t="inlineStr">
        <is>
          <t>WOMENS</t>
        </is>
      </c>
      <c r="H637" s="0" t="inlineStr">
        <is>
          <t>L</t>
        </is>
      </c>
      <c r="I637" s="0">
        <v>79.99</v>
      </c>
      <c r="J637" s="0">
        <v>5</v>
      </c>
    </row>
    <row r="638" spans="1:10" customHeight="0">
      <c r="A638" s="0">
        <f>HYPERLINK("https://dl.dropboxusercontent.com/scl/fi/39myanxxcxxz19sfinhhs/dsc9033-copy.jpg?rlkey=tm88w4eqmvbzrl24vvjz57ti2&amp;dl=0","Click to download Image")</f>
      </c>
      <c r="B638" s="0">
        <f>HYPERLINK("https://dl.dropboxusercontent.com/scl/fi/no8us6enbrba11g9kgvaj/womens-size-chartsvalor.jpg?rlkey=xb1ozsyqfm8jg6vc53z7ygj5y&amp;dl=0","Click to download SizeChart")</f>
      </c>
      <c r="C638" s="0" t="inlineStr">
        <is>
          <t>Valor Women's Water Resistant Vest</t>
        </is>
      </c>
      <c r="D638" s="1">
        <v>150414</v>
      </c>
      <c r="E638" s="0" t="inlineStr">
        <is>
          <t>IOWA VALOR W GD:150414D-XL</t>
        </is>
      </c>
      <c r="F638" s="2">
        <v>800150414074</v>
      </c>
      <c r="G638" s="0" t="inlineStr">
        <is>
          <t>WOMENS</t>
        </is>
      </c>
      <c r="H638" s="0" t="inlineStr">
        <is>
          <t>XL</t>
        </is>
      </c>
      <c r="I638" s="0">
        <v>79.99</v>
      </c>
      <c r="J638" s="0">
        <v>0</v>
      </c>
    </row>
    <row r="639" spans="1:10" customHeight="0">
      <c r="A639" s="0">
        <f>HYPERLINK("https://dl.dropboxusercontent.com/scl/fi/39myanxxcxxz19sfinhhs/dsc9033-copy.jpg?rlkey=tm88w4eqmvbzrl24vvjz57ti2&amp;dl=0","Click to download Image")</f>
      </c>
      <c r="B639" s="0">
        <f>HYPERLINK("https://dl.dropboxusercontent.com/scl/fi/no8us6enbrba11g9kgvaj/womens-size-chartsvalor.jpg?rlkey=xb1ozsyqfm8jg6vc53z7ygj5y&amp;dl=0","Click to download SizeChart")</f>
      </c>
      <c r="C639" s="0" t="inlineStr">
        <is>
          <t>Valor Women's Water Resistant Vest</t>
        </is>
      </c>
      <c r="D639" s="1">
        <v>150414</v>
      </c>
      <c r="E639" s="0" t="inlineStr">
        <is>
          <t>IOWA VALOR W GD:150414E-2XL</t>
        </is>
      </c>
      <c r="F639" s="2">
        <v>800150414081</v>
      </c>
      <c r="G639" s="0" t="inlineStr">
        <is>
          <t>WOMENS</t>
        </is>
      </c>
      <c r="H639" s="0" t="inlineStr">
        <is>
          <t>2XL</t>
        </is>
      </c>
      <c r="I639" s="0">
        <v>79.99</v>
      </c>
      <c r="J639" s="0">
        <v>3</v>
      </c>
    </row>
    <row r="640" spans="1:10" customHeight="0">
      <c r="A640" s="0">
        <f>HYPERLINK("https://dl.dropboxusercontent.com/scl/fi/39myanxxcxxz19sfinhhs/dsc9033-copy.jpg?rlkey=tm88w4eqmvbzrl24vvjz57ti2&amp;dl=0","Click to download Image")</f>
      </c>
      <c r="B640" s="0">
        <f>HYPERLINK("https://dl.dropboxusercontent.com/scl/fi/no8us6enbrba11g9kgvaj/womens-size-chartsvalor.jpg?rlkey=xb1ozsyqfm8jg6vc53z7ygj5y&amp;dl=0","Click to download SizeChart")</f>
      </c>
      <c r="C640" s="0" t="inlineStr">
        <is>
          <t>Valor Women's Water Resistant Vest</t>
        </is>
      </c>
      <c r="D640" s="1">
        <v>150414</v>
      </c>
      <c r="E640" s="0" t="inlineStr">
        <is>
          <t>IOWA VALOR W GD:150414F-3XL</t>
        </is>
      </c>
      <c r="F640" s="2">
        <v>800150414098</v>
      </c>
      <c r="G640" s="0" t="inlineStr">
        <is>
          <t>WOMENS</t>
        </is>
      </c>
      <c r="H640" s="0" t="inlineStr">
        <is>
          <t>3XL</t>
        </is>
      </c>
      <c r="I640" s="0">
        <v>79.99</v>
      </c>
      <c r="J640" s="0">
        <v>2</v>
      </c>
    </row>
    <row r="641" spans="1:10" customHeight="0">
      <c r="A641" s="0">
        <f>HYPERLINK("https://dl.dropboxusercontent.com/scl/fi/39myanxxcxxz19sfinhhs/dsc9033-copy.jpg?rlkey=tm88w4eqmvbzrl24vvjz57ti2&amp;dl=0","Click to download Image")</f>
      </c>
      <c r="B641" s="0">
        <f>HYPERLINK("https://dl.dropboxusercontent.com/scl/fi/no8us6enbrba11g9kgvaj/womens-size-chartsvalor.jpg?rlkey=xb1ozsyqfm8jg6vc53z7ygj5y&amp;dl=0","Click to download SizeChart")</f>
      </c>
      <c r="C641" s="0" t="inlineStr">
        <is>
          <t>Valor Women's Water Resistant Vest</t>
        </is>
      </c>
      <c r="D641" s="1">
        <v>150414</v>
      </c>
      <c r="E641" s="0" t="inlineStr">
        <is>
          <t>IOWA VALOR W GD:150414Z-12PK</t>
        </is>
      </c>
      <c r="F641" s="2">
        <v>800150414999</v>
      </c>
      <c r="G641" s="0" t="inlineStr">
        <is>
          <t>WOMENS</t>
        </is>
      </c>
      <c r="H641" s="0" t="inlineStr">
        <is>
          <t>12 PACK</t>
        </is>
      </c>
      <c r="I641" s="0">
        <v>768</v>
      </c>
      <c r="J641" s="0">
        <v>0</v>
      </c>
    </row>
    <row r="642" spans="1:10" customHeight="0">
      <c r="A642" s="0">
        <f>HYPERLINK("https://dl.dropboxusercontent.com/scl/fi/tw97bxnvsfvkd5ikvygru/prima-151786-tn.jpg?rlkey=3xfpypjslx7i4d68ltbsuixwv&amp;dl=0","Click to download Image")</f>
      </c>
      <c r="B642" s="0">
        <f>HYPERLINK("https://dl.dropboxusercontent.com/scl/fi/mz56y3g8psuur2x4dkw4y/womens-size-chartsprima.jpg?rlkey=czy0o701xivor4ct7czcfp87i&amp;dl=0","Click to download SizeChart")</f>
      </c>
      <c r="C642" s="0" t="inlineStr">
        <is>
          <t>Prima Women's Jacket</t>
        </is>
      </c>
      <c r="D642" s="1">
        <v>151786</v>
      </c>
      <c r="E642" s="0" t="inlineStr">
        <is>
          <t>IOWA PRIMA W GD:151786A-S</t>
        </is>
      </c>
      <c r="F642" s="2">
        <v>800151786040</v>
      </c>
      <c r="G642" s="0" t="inlineStr">
        <is>
          <t>WOMENS</t>
        </is>
      </c>
      <c r="H642" s="0" t="inlineStr">
        <is>
          <t>S</t>
        </is>
      </c>
      <c r="I642" s="0">
        <v>149.99</v>
      </c>
      <c r="J642" s="0">
        <v>7</v>
      </c>
    </row>
    <row r="643" spans="1:10" customHeight="0">
      <c r="A643" s="0">
        <f>HYPERLINK("https://dl.dropboxusercontent.com/scl/fi/tw97bxnvsfvkd5ikvygru/prima-151786-tn.jpg?rlkey=3xfpypjslx7i4d68ltbsuixwv&amp;dl=0","Click to download Image")</f>
      </c>
      <c r="B643" s="0">
        <f>HYPERLINK("https://dl.dropboxusercontent.com/scl/fi/mz56y3g8psuur2x4dkw4y/womens-size-chartsprima.jpg?rlkey=czy0o701xivor4ct7czcfp87i&amp;dl=0","Click to download SizeChart")</f>
      </c>
      <c r="C643" s="0" t="inlineStr">
        <is>
          <t>Prima Women's Jacket</t>
        </is>
      </c>
      <c r="D643" s="1">
        <v>151786</v>
      </c>
      <c r="E643" s="0" t="inlineStr">
        <is>
          <t>IOWA PRIMA W GD:151786B-M</t>
        </is>
      </c>
      <c r="F643" s="2">
        <v>800151786057</v>
      </c>
      <c r="G643" s="0" t="inlineStr">
        <is>
          <t>WOMENS</t>
        </is>
      </c>
      <c r="H643" s="0" t="inlineStr">
        <is>
          <t>M</t>
        </is>
      </c>
      <c r="I643" s="0">
        <v>149.99</v>
      </c>
      <c r="J643" s="0">
        <v>16</v>
      </c>
    </row>
    <row r="644" spans="1:10" customHeight="0">
      <c r="A644" s="0">
        <f>HYPERLINK("https://dl.dropboxusercontent.com/scl/fi/tw97bxnvsfvkd5ikvygru/prima-151786-tn.jpg?rlkey=3xfpypjslx7i4d68ltbsuixwv&amp;dl=0","Click to download Image")</f>
      </c>
      <c r="B644" s="0">
        <f>HYPERLINK("https://dl.dropboxusercontent.com/scl/fi/mz56y3g8psuur2x4dkw4y/womens-size-chartsprima.jpg?rlkey=czy0o701xivor4ct7czcfp87i&amp;dl=0","Click to download SizeChart")</f>
      </c>
      <c r="C644" s="0" t="inlineStr">
        <is>
          <t>Prima Women's Jacket</t>
        </is>
      </c>
      <c r="D644" s="1">
        <v>151786</v>
      </c>
      <c r="E644" s="0" t="inlineStr">
        <is>
          <t>IOWA PRIMA W GD:151786C-L</t>
        </is>
      </c>
      <c r="F644" s="2">
        <v>800151786064</v>
      </c>
      <c r="G644" s="0" t="inlineStr">
        <is>
          <t>WOMENS</t>
        </is>
      </c>
      <c r="H644" s="0" t="inlineStr">
        <is>
          <t>L</t>
        </is>
      </c>
      <c r="I644" s="0">
        <v>149.99</v>
      </c>
      <c r="J644" s="0">
        <v>15</v>
      </c>
    </row>
    <row r="645" spans="1:10" customHeight="0">
      <c r="A645" s="0">
        <f>HYPERLINK("https://dl.dropboxusercontent.com/scl/fi/tw97bxnvsfvkd5ikvygru/prima-151786-tn.jpg?rlkey=3xfpypjslx7i4d68ltbsuixwv&amp;dl=0","Click to download Image")</f>
      </c>
      <c r="B645" s="0">
        <f>HYPERLINK("https://dl.dropboxusercontent.com/scl/fi/mz56y3g8psuur2x4dkw4y/womens-size-chartsprima.jpg?rlkey=czy0o701xivor4ct7czcfp87i&amp;dl=0","Click to download SizeChart")</f>
      </c>
      <c r="C645" s="0" t="inlineStr">
        <is>
          <t>Prima Women's Jacket</t>
        </is>
      </c>
      <c r="D645" s="1">
        <v>151786</v>
      </c>
      <c r="E645" s="0" t="inlineStr">
        <is>
          <t>IOWA PRIMA W GD:151786D-XL</t>
        </is>
      </c>
      <c r="F645" s="2">
        <v>800151786071</v>
      </c>
      <c r="G645" s="0" t="inlineStr">
        <is>
          <t>WOMENS</t>
        </is>
      </c>
      <c r="H645" s="0" t="inlineStr">
        <is>
          <t>XL</t>
        </is>
      </c>
      <c r="I645" s="0">
        <v>149.99</v>
      </c>
      <c r="J645" s="0">
        <v>5</v>
      </c>
    </row>
    <row r="646" spans="1:10" customHeight="0">
      <c r="A646" s="0">
        <f>HYPERLINK("https://dl.dropboxusercontent.com/scl/fi/tw97bxnvsfvkd5ikvygru/prima-151786-tn.jpg?rlkey=3xfpypjslx7i4d68ltbsuixwv&amp;dl=0","Click to download Image")</f>
      </c>
      <c r="B646" s="0">
        <f>HYPERLINK("https://dl.dropboxusercontent.com/scl/fi/mz56y3g8psuur2x4dkw4y/womens-size-chartsprima.jpg?rlkey=czy0o701xivor4ct7czcfp87i&amp;dl=0","Click to download SizeChart")</f>
      </c>
      <c r="C646" s="0" t="inlineStr">
        <is>
          <t>Prima Women's Jacket</t>
        </is>
      </c>
      <c r="D646" s="1">
        <v>151786</v>
      </c>
      <c r="E646" s="0" t="inlineStr">
        <is>
          <t>IOWA PRIMA W GD:151786E-2XL</t>
        </is>
      </c>
      <c r="F646" s="2">
        <v>800151786088</v>
      </c>
      <c r="G646" s="0" t="inlineStr">
        <is>
          <t>WOMENS</t>
        </is>
      </c>
      <c r="H646" s="0" t="inlineStr">
        <is>
          <t>2XL</t>
        </is>
      </c>
      <c r="I646" s="0">
        <v>149.99</v>
      </c>
      <c r="J646" s="0">
        <v>2</v>
      </c>
    </row>
    <row r="647" spans="1:10" customHeight="0">
      <c r="A647" s="0">
        <f>HYPERLINK("https://dl.dropboxusercontent.com/scl/fi/tw97bxnvsfvkd5ikvygru/prima-151786-tn.jpg?rlkey=3xfpypjslx7i4d68ltbsuixwv&amp;dl=0","Click to download Image")</f>
      </c>
      <c r="B647" s="0">
        <f>HYPERLINK("https://dl.dropboxusercontent.com/scl/fi/mz56y3g8psuur2x4dkw4y/womens-size-chartsprima.jpg?rlkey=czy0o701xivor4ct7czcfp87i&amp;dl=0","Click to download SizeChart")</f>
      </c>
      <c r="C647" s="0" t="inlineStr">
        <is>
          <t>Prima Women's Jacket</t>
        </is>
      </c>
      <c r="D647" s="1">
        <v>151786</v>
      </c>
      <c r="E647" s="0" t="inlineStr">
        <is>
          <t>IOWA PRIMA W GD:151786F-3XL</t>
        </is>
      </c>
      <c r="F647" s="2">
        <v>800151786095</v>
      </c>
      <c r="G647" s="0" t="inlineStr">
        <is>
          <t>WOMENS</t>
        </is>
      </c>
      <c r="H647" s="0" t="inlineStr">
        <is>
          <t>3XL</t>
        </is>
      </c>
      <c r="I647" s="0">
        <v>149.99</v>
      </c>
      <c r="J647" s="0">
        <v>2</v>
      </c>
    </row>
    <row r="648" spans="1:10" customHeight="0">
      <c r="A648" s="0">
        <f>HYPERLINK("https://dl.dropboxusercontent.com/scl/fi/tw97bxnvsfvkd5ikvygru/prima-151786-tn.jpg?rlkey=3xfpypjslx7i4d68ltbsuixwv&amp;dl=0","Click to download Image")</f>
      </c>
      <c r="B648" s="0">
        <f>HYPERLINK("https://dl.dropboxusercontent.com/scl/fi/mz56y3g8psuur2x4dkw4y/womens-size-chartsprima.jpg?rlkey=czy0o701xivor4ct7czcfp87i&amp;dl=0","Click to download SizeChart")</f>
      </c>
      <c r="C648" s="0" t="inlineStr">
        <is>
          <t>Prima Women's Jacket</t>
        </is>
      </c>
      <c r="D648" s="1">
        <v>151786</v>
      </c>
      <c r="E648" s="0" t="inlineStr">
        <is>
          <t>IOWA PRIMA W GD:151786Z-12PK</t>
        </is>
      </c>
      <c r="F648" s="2">
        <v>800151786996</v>
      </c>
      <c r="G648" s="0" t="inlineStr">
        <is>
          <t>WOMENS</t>
        </is>
      </c>
      <c r="H648" s="0" t="inlineStr">
        <is>
          <t>12 PACK</t>
        </is>
      </c>
      <c r="I648" s="0">
        <v>1440</v>
      </c>
      <c r="J648" s="0">
        <v>0</v>
      </c>
    </row>
    <row r="649" spans="1:10" customHeight="0">
      <c r="A649" s="0">
        <f>HYPERLINK("https://dl.dropboxusercontent.com/scl/fi/66lqovv7htttaf7dr55rx/dsc9042-copy.jpg?rlkey=vzywwh556elhf2ml4gscryykd&amp;dl=0","Click to download Image")</f>
      </c>
      <c r="B649" s="0">
        <f>HYPERLINK("https://dl.dropboxusercontent.com/scl/fi/u5k3bxbaq8yks7ns5fxf6/womens-size-chartsgranger.jpg?rlkey=uksx8q0gx0e901861vhgnuu3u&amp;dl=0","Click to download SizeChart")</f>
      </c>
      <c r="C649" s="0" t="inlineStr">
        <is>
          <t>Granger Women's Jacket</t>
        </is>
      </c>
      <c r="D649" s="1">
        <v>151815</v>
      </c>
      <c r="E649" s="0" t="inlineStr">
        <is>
          <t>IOWA GRANGE W BK:151815A-S</t>
        </is>
      </c>
      <c r="F649" s="2">
        <v>800151815047</v>
      </c>
      <c r="G649" s="0" t="inlineStr">
        <is>
          <t>WOMENS</t>
        </is>
      </c>
      <c r="H649" s="0" t="inlineStr">
        <is>
          <t>S</t>
        </is>
      </c>
      <c r="I649" s="0">
        <v>139.99</v>
      </c>
      <c r="J649" s="0">
        <v>4</v>
      </c>
    </row>
    <row r="650" spans="1:10" customHeight="0">
      <c r="A650" s="0">
        <f>HYPERLINK("https://dl.dropboxusercontent.com/scl/fi/66lqovv7htttaf7dr55rx/dsc9042-copy.jpg?rlkey=vzywwh556elhf2ml4gscryykd&amp;dl=0","Click to download Image")</f>
      </c>
      <c r="B650" s="0">
        <f>HYPERLINK("https://dl.dropboxusercontent.com/scl/fi/u5k3bxbaq8yks7ns5fxf6/womens-size-chartsgranger.jpg?rlkey=uksx8q0gx0e901861vhgnuu3u&amp;dl=0","Click to download SizeChart")</f>
      </c>
      <c r="C650" s="0" t="inlineStr">
        <is>
          <t>Granger Women's Jacket</t>
        </is>
      </c>
      <c r="D650" s="1">
        <v>151815</v>
      </c>
      <c r="E650" s="0" t="inlineStr">
        <is>
          <t>IOWA GRANGE W BK:151815B-M</t>
        </is>
      </c>
      <c r="F650" s="2">
        <v>800151815054</v>
      </c>
      <c r="G650" s="0" t="inlineStr">
        <is>
          <t>WOMENS</t>
        </is>
      </c>
      <c r="H650" s="0" t="inlineStr">
        <is>
          <t>M</t>
        </is>
      </c>
      <c r="I650" s="0">
        <v>139.99</v>
      </c>
      <c r="J650" s="0">
        <v>10</v>
      </c>
    </row>
    <row r="651" spans="1:10" customHeight="0">
      <c r="A651" s="0">
        <f>HYPERLINK("https://dl.dropboxusercontent.com/scl/fi/66lqovv7htttaf7dr55rx/dsc9042-copy.jpg?rlkey=vzywwh556elhf2ml4gscryykd&amp;dl=0","Click to download Image")</f>
      </c>
      <c r="B651" s="0">
        <f>HYPERLINK("https://dl.dropboxusercontent.com/scl/fi/u5k3bxbaq8yks7ns5fxf6/womens-size-chartsgranger.jpg?rlkey=uksx8q0gx0e901861vhgnuu3u&amp;dl=0","Click to download SizeChart")</f>
      </c>
      <c r="C651" s="0" t="inlineStr">
        <is>
          <t>Granger Women's Jacket</t>
        </is>
      </c>
      <c r="D651" s="1">
        <v>151815</v>
      </c>
      <c r="E651" s="0" t="inlineStr">
        <is>
          <t>IOWA GRANGE W BK:151815C-L</t>
        </is>
      </c>
      <c r="F651" s="2">
        <v>800151815061</v>
      </c>
      <c r="G651" s="0" t="inlineStr">
        <is>
          <t>WOMENS</t>
        </is>
      </c>
      <c r="H651" s="0" t="inlineStr">
        <is>
          <t>L</t>
        </is>
      </c>
      <c r="I651" s="0">
        <v>139.99</v>
      </c>
      <c r="J651" s="0">
        <v>10</v>
      </c>
    </row>
    <row r="652" spans="1:10" customHeight="0">
      <c r="A652" s="0">
        <f>HYPERLINK("https://dl.dropboxusercontent.com/scl/fi/66lqovv7htttaf7dr55rx/dsc9042-copy.jpg?rlkey=vzywwh556elhf2ml4gscryykd&amp;dl=0","Click to download Image")</f>
      </c>
      <c r="B652" s="0">
        <f>HYPERLINK("https://dl.dropboxusercontent.com/scl/fi/u5k3bxbaq8yks7ns5fxf6/womens-size-chartsgranger.jpg?rlkey=uksx8q0gx0e901861vhgnuu3u&amp;dl=0","Click to download SizeChart")</f>
      </c>
      <c r="C652" s="0" t="inlineStr">
        <is>
          <t>Granger Women's Jacket</t>
        </is>
      </c>
      <c r="D652" s="1">
        <v>151815</v>
      </c>
      <c r="E652" s="0" t="inlineStr">
        <is>
          <t>IOWA GRANGE W BK:151815D-XL</t>
        </is>
      </c>
      <c r="F652" s="2">
        <v>800151815078</v>
      </c>
      <c r="G652" s="0" t="inlineStr">
        <is>
          <t>WOMENS</t>
        </is>
      </c>
      <c r="H652" s="0" t="inlineStr">
        <is>
          <t>XL</t>
        </is>
      </c>
      <c r="I652" s="0">
        <v>139.99</v>
      </c>
      <c r="J652" s="0">
        <v>5</v>
      </c>
    </row>
    <row r="653" spans="1:10" customHeight="0">
      <c r="A653" s="0">
        <f>HYPERLINK("https://dl.dropboxusercontent.com/scl/fi/66lqovv7htttaf7dr55rx/dsc9042-copy.jpg?rlkey=vzywwh556elhf2ml4gscryykd&amp;dl=0","Click to download Image")</f>
      </c>
      <c r="B653" s="0">
        <f>HYPERLINK("https://dl.dropboxusercontent.com/scl/fi/u5k3bxbaq8yks7ns5fxf6/womens-size-chartsgranger.jpg?rlkey=uksx8q0gx0e901861vhgnuu3u&amp;dl=0","Click to download SizeChart")</f>
      </c>
      <c r="C653" s="0" t="inlineStr">
        <is>
          <t>Granger Women's Jacket</t>
        </is>
      </c>
      <c r="D653" s="1">
        <v>151815</v>
      </c>
      <c r="E653" s="0" t="inlineStr">
        <is>
          <t>IOWA GRANGE W BK:151815E-2XL</t>
        </is>
      </c>
      <c r="F653" s="2">
        <v>800151815085</v>
      </c>
      <c r="G653" s="0" t="inlineStr">
        <is>
          <t>WOMENS</t>
        </is>
      </c>
      <c r="H653" s="0" t="inlineStr">
        <is>
          <t>2XL</t>
        </is>
      </c>
      <c r="I653" s="0">
        <v>139.99</v>
      </c>
      <c r="J653" s="0">
        <v>2</v>
      </c>
    </row>
    <row r="654" spans="1:10" customHeight="0">
      <c r="A654" s="0">
        <f>HYPERLINK("https://dl.dropboxusercontent.com/scl/fi/66lqovv7htttaf7dr55rx/dsc9042-copy.jpg?rlkey=vzywwh556elhf2ml4gscryykd&amp;dl=0","Click to download Image")</f>
      </c>
      <c r="B654" s="0">
        <f>HYPERLINK("https://dl.dropboxusercontent.com/scl/fi/u5k3bxbaq8yks7ns5fxf6/womens-size-chartsgranger.jpg?rlkey=uksx8q0gx0e901861vhgnuu3u&amp;dl=0","Click to download SizeChart")</f>
      </c>
      <c r="C654" s="0" t="inlineStr">
        <is>
          <t>Granger Women's Jacket</t>
        </is>
      </c>
      <c r="D654" s="1">
        <v>151815</v>
      </c>
      <c r="E654" s="0" t="inlineStr">
        <is>
          <t>IOWA GRANGE W BK:151815F-3XL</t>
        </is>
      </c>
      <c r="F654" s="2">
        <v>800151815092</v>
      </c>
      <c r="G654" s="0" t="inlineStr">
        <is>
          <t>WOMENS</t>
        </is>
      </c>
      <c r="H654" s="0" t="inlineStr">
        <is>
          <t>3XL</t>
        </is>
      </c>
      <c r="I654" s="0">
        <v>139.99</v>
      </c>
      <c r="J654" s="0">
        <v>1</v>
      </c>
    </row>
    <row r="655" spans="1:10" customHeight="0">
      <c r="A655" s="0">
        <f>HYPERLINK("https://dl.dropboxusercontent.com/scl/fi/66lqovv7htttaf7dr55rx/dsc9042-copy.jpg?rlkey=vzywwh556elhf2ml4gscryykd&amp;dl=0","Click to download Image")</f>
      </c>
      <c r="B655" s="0">
        <f>HYPERLINK("https://dl.dropboxusercontent.com/scl/fi/u5k3bxbaq8yks7ns5fxf6/womens-size-chartsgranger.jpg?rlkey=uksx8q0gx0e901861vhgnuu3u&amp;dl=0","Click to download SizeChart")</f>
      </c>
      <c r="C655" s="0" t="inlineStr">
        <is>
          <t>Granger Women's Jacket</t>
        </is>
      </c>
      <c r="D655" s="1">
        <v>151815</v>
      </c>
      <c r="E655" s="0" t="inlineStr">
        <is>
          <t>IOWA GRANGE W BK:151815Z-12PK</t>
        </is>
      </c>
      <c r="F655" s="2">
        <v>800151815993</v>
      </c>
      <c r="G655" s="0" t="inlineStr">
        <is>
          <t>WOMENS</t>
        </is>
      </c>
      <c r="H655" s="0" t="inlineStr">
        <is>
          <t>12 PACK</t>
        </is>
      </c>
      <c r="I655" s="0">
        <v>1344</v>
      </c>
      <c r="J655" s="0">
        <v>0</v>
      </c>
    </row>
    <row r="656" spans="1:10" customHeight="0">
      <c r="A656" s="0">
        <f>HYPERLINK("https://dl.dropboxusercontent.com/scl/fi/9lsalo2j3zuo8ebns670a/ace-151756-tn.jpg?rlkey=8pdzr3m0rsqu9mheuqhgrg13z&amp;dl=0","Click to download Image")</f>
      </c>
      <c r="C656" s="0" t="inlineStr">
        <is>
          <t>Ace Hoodie Womens</t>
        </is>
      </c>
      <c r="D656" s="1">
        <v>151756</v>
      </c>
      <c r="E656" s="0" t="inlineStr">
        <is>
          <t>IOWA ACE W BK:151756A-S</t>
        </is>
      </c>
      <c r="F656" s="2">
        <v>800151756043</v>
      </c>
      <c r="G656" s="0" t="inlineStr">
        <is>
          <t>WOMENS</t>
        </is>
      </c>
      <c r="H656" s="0" t="inlineStr">
        <is>
          <t>S</t>
        </is>
      </c>
      <c r="I656" s="0">
        <v>54.99</v>
      </c>
      <c r="J656" s="0">
        <v>2</v>
      </c>
    </row>
    <row r="657" spans="1:10" customHeight="0">
      <c r="A657" s="0">
        <f>HYPERLINK("https://dl.dropboxusercontent.com/scl/fi/9lsalo2j3zuo8ebns670a/ace-151756-tn.jpg?rlkey=8pdzr3m0rsqu9mheuqhgrg13z&amp;dl=0","Click to download Image")</f>
      </c>
      <c r="C657" s="0" t="inlineStr">
        <is>
          <t>Ace Hoodie Womens</t>
        </is>
      </c>
      <c r="D657" s="1">
        <v>151756</v>
      </c>
      <c r="E657" s="0" t="inlineStr">
        <is>
          <t>IOWA ACE W BK:151756B-M</t>
        </is>
      </c>
      <c r="F657" s="2">
        <v>800151756050</v>
      </c>
      <c r="G657" s="0" t="inlineStr">
        <is>
          <t>WOMENS</t>
        </is>
      </c>
      <c r="H657" s="0" t="inlineStr">
        <is>
          <t>M</t>
        </is>
      </c>
      <c r="I657" s="0">
        <v>54.99</v>
      </c>
      <c r="J657" s="0">
        <v>10</v>
      </c>
    </row>
    <row r="658" spans="1:10" customHeight="0">
      <c r="A658" s="0">
        <f>HYPERLINK("https://dl.dropboxusercontent.com/scl/fi/9lsalo2j3zuo8ebns670a/ace-151756-tn.jpg?rlkey=8pdzr3m0rsqu9mheuqhgrg13z&amp;dl=0","Click to download Image")</f>
      </c>
      <c r="C658" s="0" t="inlineStr">
        <is>
          <t>Ace Hoodie Womens</t>
        </is>
      </c>
      <c r="D658" s="1">
        <v>151756</v>
      </c>
      <c r="E658" s="0" t="inlineStr">
        <is>
          <t>IOWA ACE W BK:151756C-L</t>
        </is>
      </c>
      <c r="F658" s="2">
        <v>800151756067</v>
      </c>
      <c r="G658" s="0" t="inlineStr">
        <is>
          <t>WOMENS</t>
        </is>
      </c>
      <c r="H658" s="0" t="inlineStr">
        <is>
          <t>L</t>
        </is>
      </c>
      <c r="I658" s="0">
        <v>54.99</v>
      </c>
      <c r="J658" s="0">
        <v>9</v>
      </c>
    </row>
    <row r="659" spans="1:10" customHeight="0">
      <c r="A659" s="0">
        <f>HYPERLINK("https://dl.dropboxusercontent.com/scl/fi/9lsalo2j3zuo8ebns670a/ace-151756-tn.jpg?rlkey=8pdzr3m0rsqu9mheuqhgrg13z&amp;dl=0","Click to download Image")</f>
      </c>
      <c r="C659" s="0" t="inlineStr">
        <is>
          <t>Ace Hoodie Womens</t>
        </is>
      </c>
      <c r="D659" s="1">
        <v>151756</v>
      </c>
      <c r="E659" s="0" t="inlineStr">
        <is>
          <t>IOWA ACE W BK:151756D-XL</t>
        </is>
      </c>
      <c r="F659" s="2">
        <v>800151756074</v>
      </c>
      <c r="G659" s="0" t="inlineStr">
        <is>
          <t>WOMENS</t>
        </is>
      </c>
      <c r="H659" s="0" t="inlineStr">
        <is>
          <t>XL</t>
        </is>
      </c>
      <c r="I659" s="0">
        <v>54.99</v>
      </c>
      <c r="J659" s="0">
        <v>3</v>
      </c>
    </row>
    <row r="660" spans="1:10" customHeight="0">
      <c r="A660" s="0">
        <f>HYPERLINK("https://dl.dropboxusercontent.com/scl/fi/9lsalo2j3zuo8ebns670a/ace-151756-tn.jpg?rlkey=8pdzr3m0rsqu9mheuqhgrg13z&amp;dl=0","Click to download Image")</f>
      </c>
      <c r="C660" s="0" t="inlineStr">
        <is>
          <t>Ace Hoodie Womens</t>
        </is>
      </c>
      <c r="D660" s="1">
        <v>151756</v>
      </c>
      <c r="E660" s="0" t="inlineStr">
        <is>
          <t>IOWA ACE W BK:151756E-2XL</t>
        </is>
      </c>
      <c r="F660" s="2">
        <v>800151756081</v>
      </c>
      <c r="G660" s="0" t="inlineStr">
        <is>
          <t>WOMENS</t>
        </is>
      </c>
      <c r="H660" s="0" t="inlineStr">
        <is>
          <t>2XL</t>
        </is>
      </c>
      <c r="I660" s="0">
        <v>54.99</v>
      </c>
      <c r="J660" s="0">
        <v>0</v>
      </c>
    </row>
    <row r="661" spans="1:10" customHeight="0">
      <c r="A661" s="0">
        <f>HYPERLINK("https://dl.dropboxusercontent.com/scl/fi/9lsalo2j3zuo8ebns670a/ace-151756-tn.jpg?rlkey=8pdzr3m0rsqu9mheuqhgrg13z&amp;dl=0","Click to download Image")</f>
      </c>
      <c r="C661" s="0" t="inlineStr">
        <is>
          <t>Ace Hoodie Womens</t>
        </is>
      </c>
      <c r="D661" s="1">
        <v>151756</v>
      </c>
      <c r="E661" s="0" t="inlineStr">
        <is>
          <t>IOWA ACE W BK:151756F-3XL</t>
        </is>
      </c>
      <c r="F661" s="2">
        <v>800151756098</v>
      </c>
      <c r="G661" s="0" t="inlineStr">
        <is>
          <t>WOMENS</t>
        </is>
      </c>
      <c r="H661" s="0" t="inlineStr">
        <is>
          <t>3XL</t>
        </is>
      </c>
      <c r="I661" s="0">
        <v>54.99</v>
      </c>
      <c r="J661" s="0">
        <v>0</v>
      </c>
    </row>
    <row r="662" spans="1:10" customHeight="0">
      <c r="A662" s="0">
        <f>HYPERLINK("https://dl.dropboxusercontent.com/scl/fi/9lsalo2j3zuo8ebns670a/ace-151756-tn.jpg?rlkey=8pdzr3m0rsqu9mheuqhgrg13z&amp;dl=0","Click to download Image")</f>
      </c>
      <c r="C662" s="0" t="inlineStr">
        <is>
          <t>Ace Hoodie Womens</t>
        </is>
      </c>
      <c r="D662" s="1">
        <v>151756</v>
      </c>
      <c r="E662" s="0" t="inlineStr">
        <is>
          <t>IOWA ACE W BK:151756Z-12PK</t>
        </is>
      </c>
      <c r="F662" s="2">
        <v>800151756999</v>
      </c>
      <c r="G662" s="0" t="inlineStr">
        <is>
          <t>WOMENS</t>
        </is>
      </c>
      <c r="H662" s="0" t="inlineStr">
        <is>
          <t>12 PACK</t>
        </is>
      </c>
      <c r="I662" s="0">
        <v>624</v>
      </c>
      <c r="J662" s="0">
        <v>0</v>
      </c>
    </row>
    <row r="663" spans="1:10" customHeight="0">
      <c r="A663" s="0">
        <f>HYPERLINK("https://dl.dropboxusercontent.com/scl/fi/yv7j3drfa09gcs267moai/captial-151829-f.jpg?rlkey=9pm1dk19zc3j9bnp5hx219qes&amp;dl=0","Click to download Image")</f>
      </c>
      <c r="B663" s="0">
        <f>HYPERLINK("https://dl.dropboxusercontent.com/scl/fi/k9iza6tzwblkcdncg011a/womens-size-chartscapital.jpg?rlkey=jny1alj47ok64kpc13v0l4ttm&amp;dl=0","Click to download SizeChart")</f>
      </c>
      <c r="C663" s="0" t="inlineStr">
        <is>
          <t>Capital Women's Jacket</t>
        </is>
      </c>
      <c r="D663" s="1">
        <v>151829</v>
      </c>
      <c r="E663" s="0" t="inlineStr">
        <is>
          <t>IOWA CAPITA W BK:151829A-S</t>
        </is>
      </c>
      <c r="F663" s="2">
        <v>800151829044</v>
      </c>
      <c r="G663" s="0" t="inlineStr">
        <is>
          <t>WOMENS</t>
        </is>
      </c>
      <c r="H663" s="0" t="inlineStr">
        <is>
          <t>S</t>
        </is>
      </c>
      <c r="I663" s="0">
        <v>129.99</v>
      </c>
      <c r="J663" s="0">
        <v>5</v>
      </c>
    </row>
    <row r="664" spans="1:10" customHeight="0">
      <c r="A664" s="0">
        <f>HYPERLINK("https://dl.dropboxusercontent.com/scl/fi/yv7j3drfa09gcs267moai/captial-151829-f.jpg?rlkey=9pm1dk19zc3j9bnp5hx219qes&amp;dl=0","Click to download Image")</f>
      </c>
      <c r="B664" s="0">
        <f>HYPERLINK("https://dl.dropboxusercontent.com/scl/fi/k9iza6tzwblkcdncg011a/womens-size-chartscapital.jpg?rlkey=jny1alj47ok64kpc13v0l4ttm&amp;dl=0","Click to download SizeChart")</f>
      </c>
      <c r="C664" s="0" t="inlineStr">
        <is>
          <t>Capital Women's Jacket</t>
        </is>
      </c>
      <c r="D664" s="1">
        <v>151829</v>
      </c>
      <c r="E664" s="0" t="inlineStr">
        <is>
          <t>IOWA CAPITA W BK:151829B-M</t>
        </is>
      </c>
      <c r="F664" s="2">
        <v>800151829051</v>
      </c>
      <c r="G664" s="0" t="inlineStr">
        <is>
          <t>WOMENS</t>
        </is>
      </c>
      <c r="H664" s="0" t="inlineStr">
        <is>
          <t>M</t>
        </is>
      </c>
      <c r="I664" s="0">
        <v>129.99</v>
      </c>
      <c r="J664" s="0">
        <v>10</v>
      </c>
    </row>
    <row r="665" spans="1:10" customHeight="0">
      <c r="A665" s="0">
        <f>HYPERLINK("https://dl.dropboxusercontent.com/scl/fi/yv7j3drfa09gcs267moai/captial-151829-f.jpg?rlkey=9pm1dk19zc3j9bnp5hx219qes&amp;dl=0","Click to download Image")</f>
      </c>
      <c r="B665" s="0">
        <f>HYPERLINK("https://dl.dropboxusercontent.com/scl/fi/k9iza6tzwblkcdncg011a/womens-size-chartscapital.jpg?rlkey=jny1alj47ok64kpc13v0l4ttm&amp;dl=0","Click to download SizeChart")</f>
      </c>
      <c r="C665" s="0" t="inlineStr">
        <is>
          <t>Capital Women's Jacket</t>
        </is>
      </c>
      <c r="D665" s="1">
        <v>151829</v>
      </c>
      <c r="E665" s="0" t="inlineStr">
        <is>
          <t>IOWA CAPITA W BK:151829C-L</t>
        </is>
      </c>
      <c r="F665" s="2">
        <v>800151829068</v>
      </c>
      <c r="G665" s="0" t="inlineStr">
        <is>
          <t>WOMENS</t>
        </is>
      </c>
      <c r="H665" s="0" t="inlineStr">
        <is>
          <t>L</t>
        </is>
      </c>
      <c r="I665" s="0">
        <v>129.99</v>
      </c>
      <c r="J665" s="0">
        <v>10</v>
      </c>
    </row>
    <row r="666" spans="1:10" customHeight="0">
      <c r="A666" s="0">
        <f>HYPERLINK("https://dl.dropboxusercontent.com/scl/fi/yv7j3drfa09gcs267moai/captial-151829-f.jpg?rlkey=9pm1dk19zc3j9bnp5hx219qes&amp;dl=0","Click to download Image")</f>
      </c>
      <c r="B666" s="0">
        <f>HYPERLINK("https://dl.dropboxusercontent.com/scl/fi/k9iza6tzwblkcdncg011a/womens-size-chartscapital.jpg?rlkey=jny1alj47ok64kpc13v0l4ttm&amp;dl=0","Click to download SizeChart")</f>
      </c>
      <c r="C666" s="0" t="inlineStr">
        <is>
          <t>Capital Women's Jacket</t>
        </is>
      </c>
      <c r="D666" s="1">
        <v>151829</v>
      </c>
      <c r="E666" s="0" t="inlineStr">
        <is>
          <t>IOWA CAPITA W BK:151829D-XL</t>
        </is>
      </c>
      <c r="F666" s="2">
        <v>800151829075</v>
      </c>
      <c r="G666" s="0" t="inlineStr">
        <is>
          <t>WOMENS</t>
        </is>
      </c>
      <c r="H666" s="0" t="inlineStr">
        <is>
          <t>XL</t>
        </is>
      </c>
      <c r="I666" s="0">
        <v>129.99</v>
      </c>
      <c r="J666" s="0">
        <v>4</v>
      </c>
    </row>
    <row r="667" spans="1:10" customHeight="0">
      <c r="A667" s="0">
        <f>HYPERLINK("https://dl.dropboxusercontent.com/scl/fi/yv7j3drfa09gcs267moai/captial-151829-f.jpg?rlkey=9pm1dk19zc3j9bnp5hx219qes&amp;dl=0","Click to download Image")</f>
      </c>
      <c r="B667" s="0">
        <f>HYPERLINK("https://dl.dropboxusercontent.com/scl/fi/k9iza6tzwblkcdncg011a/womens-size-chartscapital.jpg?rlkey=jny1alj47ok64kpc13v0l4ttm&amp;dl=0","Click to download SizeChart")</f>
      </c>
      <c r="C667" s="0" t="inlineStr">
        <is>
          <t>Capital Women's Jacket</t>
        </is>
      </c>
      <c r="D667" s="1">
        <v>151829</v>
      </c>
      <c r="E667" s="0" t="inlineStr">
        <is>
          <t>IOWA CAPITA W BK:151829E-2XL</t>
        </is>
      </c>
      <c r="F667" s="2">
        <v>800151829082</v>
      </c>
      <c r="G667" s="0" t="inlineStr">
        <is>
          <t>WOMENS</t>
        </is>
      </c>
      <c r="H667" s="0" t="inlineStr">
        <is>
          <t>2XL</t>
        </is>
      </c>
      <c r="I667" s="0">
        <v>129.99</v>
      </c>
      <c r="J667" s="0">
        <v>0</v>
      </c>
    </row>
    <row r="668" spans="1:10" customHeight="0">
      <c r="A668" s="0">
        <f>HYPERLINK("https://dl.dropboxusercontent.com/scl/fi/yv7j3drfa09gcs267moai/captial-151829-f.jpg?rlkey=9pm1dk19zc3j9bnp5hx219qes&amp;dl=0","Click to download Image")</f>
      </c>
      <c r="B668" s="0">
        <f>HYPERLINK("https://dl.dropboxusercontent.com/scl/fi/k9iza6tzwblkcdncg011a/womens-size-chartscapital.jpg?rlkey=jny1alj47ok64kpc13v0l4ttm&amp;dl=0","Click to download SizeChart")</f>
      </c>
      <c r="C668" s="0" t="inlineStr">
        <is>
          <t>Capital Women's Jacket</t>
        </is>
      </c>
      <c r="D668" s="1">
        <v>151829</v>
      </c>
      <c r="E668" s="0" t="inlineStr">
        <is>
          <t>IOWA CAPITA W BK:151829F-3XL</t>
        </is>
      </c>
      <c r="F668" s="2">
        <v>800151829099</v>
      </c>
      <c r="G668" s="0" t="inlineStr">
        <is>
          <t>WOMENS</t>
        </is>
      </c>
      <c r="H668" s="0" t="inlineStr">
        <is>
          <t>3XL</t>
        </is>
      </c>
      <c r="I668" s="0">
        <v>129.99</v>
      </c>
      <c r="J668" s="0">
        <v>1</v>
      </c>
    </row>
    <row r="669" spans="1:10" customHeight="0">
      <c r="A669" s="0">
        <f>HYPERLINK("https://dl.dropboxusercontent.com/scl/fi/yv7j3drfa09gcs267moai/captial-151829-f.jpg?rlkey=9pm1dk19zc3j9bnp5hx219qes&amp;dl=0","Click to download Image")</f>
      </c>
      <c r="B669" s="0">
        <f>HYPERLINK("https://dl.dropboxusercontent.com/scl/fi/k9iza6tzwblkcdncg011a/womens-size-chartscapital.jpg?rlkey=jny1alj47ok64kpc13v0l4ttm&amp;dl=0","Click to download SizeChart")</f>
      </c>
      <c r="C669" s="0" t="inlineStr">
        <is>
          <t>Capital Women's Jacket</t>
        </is>
      </c>
      <c r="D669" s="1">
        <v>151829</v>
      </c>
      <c r="E669" s="0" t="inlineStr">
        <is>
          <t>IOWA CAPITA W BK:151829Z-12PK</t>
        </is>
      </c>
      <c r="F669" s="2">
        <v>800151829990</v>
      </c>
      <c r="G669" s="0" t="inlineStr">
        <is>
          <t>WOMENS</t>
        </is>
      </c>
      <c r="H669" s="0" t="inlineStr">
        <is>
          <t>12 PACK</t>
        </is>
      </c>
      <c r="I669" s="0">
        <v>1248</v>
      </c>
      <c r="J669" s="0">
        <v>0</v>
      </c>
    </row>
    <row r="670" spans="1:10" customHeight="0">
      <c r="A670" s="0">
        <f>HYPERLINK("https://dl.dropboxusercontent.com/scl/fi/whczhq4bc97xn4yhtbn0q/capital-151669-f.jpg?rlkey=zo0mhhx5ncutd1srz37cbipws&amp;dl=0","Click to download Image")</f>
      </c>
      <c r="B670" s="0">
        <f>HYPERLINK("https://dl.dropboxusercontent.com/scl/fi/ky0fp0s98ggv8afjhwdlt/mens-jackets-size-chartscapital.jpg?rlkey=2k23jcvmldj59qr67a6o8gvcx&amp;dl=0","Click to download SizeChart")</f>
      </c>
      <c r="C670" s="0" t="inlineStr">
        <is>
          <t>Capital Men's Jacket</t>
        </is>
      </c>
      <c r="D670" s="1">
        <v>151669</v>
      </c>
      <c r="E670" s="0" t="inlineStr">
        <is>
          <t>IOWA CAPITA M BK:151669A-S</t>
        </is>
      </c>
      <c r="F670" s="2">
        <v>800151669046</v>
      </c>
      <c r="G670" s="0" t="inlineStr">
        <is>
          <t>MENS</t>
        </is>
      </c>
      <c r="H670" s="0" t="inlineStr">
        <is>
          <t>S</t>
        </is>
      </c>
      <c r="I670" s="0">
        <v>129.99</v>
      </c>
      <c r="J670" s="0">
        <v>2</v>
      </c>
    </row>
    <row r="671" spans="1:10" customHeight="0">
      <c r="A671" s="0">
        <f>HYPERLINK("https://dl.dropboxusercontent.com/scl/fi/whczhq4bc97xn4yhtbn0q/capital-151669-f.jpg?rlkey=zo0mhhx5ncutd1srz37cbipws&amp;dl=0","Click to download Image")</f>
      </c>
      <c r="B671" s="0">
        <f>HYPERLINK("https://dl.dropboxusercontent.com/scl/fi/ky0fp0s98ggv8afjhwdlt/mens-jackets-size-chartscapital.jpg?rlkey=2k23jcvmldj59qr67a6o8gvcx&amp;dl=0","Click to download SizeChart")</f>
      </c>
      <c r="C671" s="0" t="inlineStr">
        <is>
          <t>Capital Men's Jacket</t>
        </is>
      </c>
      <c r="D671" s="1">
        <v>151669</v>
      </c>
      <c r="E671" s="0" t="inlineStr">
        <is>
          <t>IOWA CAPITA M BK:151669B-M</t>
        </is>
      </c>
      <c r="F671" s="2">
        <v>800151669053</v>
      </c>
      <c r="G671" s="0" t="inlineStr">
        <is>
          <t>MENS</t>
        </is>
      </c>
      <c r="H671" s="0" t="inlineStr">
        <is>
          <t>M</t>
        </is>
      </c>
      <c r="I671" s="0">
        <v>129.99</v>
      </c>
      <c r="J671" s="0">
        <v>4</v>
      </c>
    </row>
    <row r="672" spans="1:10" customHeight="0">
      <c r="A672" s="0">
        <f>HYPERLINK("https://dl.dropboxusercontent.com/scl/fi/whczhq4bc97xn4yhtbn0q/capital-151669-f.jpg?rlkey=zo0mhhx5ncutd1srz37cbipws&amp;dl=0","Click to download Image")</f>
      </c>
      <c r="B672" s="0">
        <f>HYPERLINK("https://dl.dropboxusercontent.com/scl/fi/ky0fp0s98ggv8afjhwdlt/mens-jackets-size-chartscapital.jpg?rlkey=2k23jcvmldj59qr67a6o8gvcx&amp;dl=0","Click to download SizeChart")</f>
      </c>
      <c r="C672" s="0" t="inlineStr">
        <is>
          <t>Capital Men's Jacket</t>
        </is>
      </c>
      <c r="D672" s="1">
        <v>151669</v>
      </c>
      <c r="E672" s="0" t="inlineStr">
        <is>
          <t>IOWA CAPITA M BK:151669C-L</t>
        </is>
      </c>
      <c r="F672" s="2">
        <v>800151669060</v>
      </c>
      <c r="G672" s="0" t="inlineStr">
        <is>
          <t>MENS</t>
        </is>
      </c>
      <c r="H672" s="0" t="inlineStr">
        <is>
          <t>L</t>
        </is>
      </c>
      <c r="I672" s="0">
        <v>129.99</v>
      </c>
      <c r="J672" s="0">
        <v>6</v>
      </c>
    </row>
    <row r="673" spans="1:10" customHeight="0">
      <c r="A673" s="0">
        <f>HYPERLINK("https://dl.dropboxusercontent.com/scl/fi/whczhq4bc97xn4yhtbn0q/capital-151669-f.jpg?rlkey=zo0mhhx5ncutd1srz37cbipws&amp;dl=0","Click to download Image")</f>
      </c>
      <c r="B673" s="0">
        <f>HYPERLINK("https://dl.dropboxusercontent.com/scl/fi/ky0fp0s98ggv8afjhwdlt/mens-jackets-size-chartscapital.jpg?rlkey=2k23jcvmldj59qr67a6o8gvcx&amp;dl=0","Click to download SizeChart")</f>
      </c>
      <c r="C673" s="0" t="inlineStr">
        <is>
          <t>Capital Men's Jacket</t>
        </is>
      </c>
      <c r="D673" s="1">
        <v>151669</v>
      </c>
      <c r="E673" s="0" t="inlineStr">
        <is>
          <t>IOWA CAPITA M BK:151669D-XL</t>
        </is>
      </c>
      <c r="F673" s="2">
        <v>800151669077</v>
      </c>
      <c r="G673" s="0" t="inlineStr">
        <is>
          <t>MENS</t>
        </is>
      </c>
      <c r="H673" s="0" t="inlineStr">
        <is>
          <t>XL</t>
        </is>
      </c>
      <c r="I673" s="0">
        <v>129.99</v>
      </c>
      <c r="J673" s="0">
        <v>6</v>
      </c>
    </row>
    <row r="674" spans="1:10" customHeight="0">
      <c r="A674" s="0">
        <f>HYPERLINK("https://dl.dropboxusercontent.com/scl/fi/whczhq4bc97xn4yhtbn0q/capital-151669-f.jpg?rlkey=zo0mhhx5ncutd1srz37cbipws&amp;dl=0","Click to download Image")</f>
      </c>
      <c r="B674" s="0">
        <f>HYPERLINK("https://dl.dropboxusercontent.com/scl/fi/ky0fp0s98ggv8afjhwdlt/mens-jackets-size-chartscapital.jpg?rlkey=2k23jcvmldj59qr67a6o8gvcx&amp;dl=0","Click to download SizeChart")</f>
      </c>
      <c r="C674" s="0" t="inlineStr">
        <is>
          <t>Capital Men's Jacket</t>
        </is>
      </c>
      <c r="D674" s="1">
        <v>151669</v>
      </c>
      <c r="E674" s="0" t="inlineStr">
        <is>
          <t>IOWA CAPITA M BK:151669E-2XL</t>
        </is>
      </c>
      <c r="F674" s="2">
        <v>800151669084</v>
      </c>
      <c r="G674" s="0" t="inlineStr">
        <is>
          <t>MENS</t>
        </is>
      </c>
      <c r="H674" s="0" t="inlineStr">
        <is>
          <t>2XL</t>
        </is>
      </c>
      <c r="I674" s="0">
        <v>129.99</v>
      </c>
      <c r="J674" s="0">
        <v>4</v>
      </c>
    </row>
    <row r="675" spans="1:10" customHeight="0">
      <c r="A675" s="0">
        <f>HYPERLINK("https://dl.dropboxusercontent.com/scl/fi/whczhq4bc97xn4yhtbn0q/capital-151669-f.jpg?rlkey=zo0mhhx5ncutd1srz37cbipws&amp;dl=0","Click to download Image")</f>
      </c>
      <c r="B675" s="0">
        <f>HYPERLINK("https://dl.dropboxusercontent.com/scl/fi/ky0fp0s98ggv8afjhwdlt/mens-jackets-size-chartscapital.jpg?rlkey=2k23jcvmldj59qr67a6o8gvcx&amp;dl=0","Click to download SizeChart")</f>
      </c>
      <c r="C675" s="0" t="inlineStr">
        <is>
          <t>Capital Men's Jacket</t>
        </is>
      </c>
      <c r="D675" s="1">
        <v>151669</v>
      </c>
      <c r="E675" s="0" t="inlineStr">
        <is>
          <t>IOWA CAPITA M BK:151669F-3XL</t>
        </is>
      </c>
      <c r="F675" s="2">
        <v>800151669091</v>
      </c>
      <c r="G675" s="0" t="inlineStr">
        <is>
          <t>MENS</t>
        </is>
      </c>
      <c r="H675" s="0" t="inlineStr">
        <is>
          <t>3XL</t>
        </is>
      </c>
      <c r="I675" s="0">
        <v>129.99</v>
      </c>
      <c r="J675" s="0">
        <v>2</v>
      </c>
    </row>
    <row r="676" spans="1:10" customHeight="0">
      <c r="A676" s="0">
        <f>HYPERLINK("https://dl.dropboxusercontent.com/scl/fi/whczhq4bc97xn4yhtbn0q/capital-151669-f.jpg?rlkey=zo0mhhx5ncutd1srz37cbipws&amp;dl=0","Click to download Image")</f>
      </c>
      <c r="B676" s="0">
        <f>HYPERLINK("https://dl.dropboxusercontent.com/scl/fi/ky0fp0s98ggv8afjhwdlt/mens-jackets-size-chartscapital.jpg?rlkey=2k23jcvmldj59qr67a6o8gvcx&amp;dl=0","Click to download SizeChart")</f>
      </c>
      <c r="C676" s="0" t="inlineStr">
        <is>
          <t>Capital Men's Jacket</t>
        </is>
      </c>
      <c r="D676" s="1">
        <v>151669</v>
      </c>
      <c r="E676" s="0" t="inlineStr">
        <is>
          <t>IOWA CAPITA M BK:151669Z-12PK</t>
        </is>
      </c>
      <c r="F676" s="2">
        <v>800151669992</v>
      </c>
      <c r="G676" s="0" t="inlineStr">
        <is>
          <t>MENS</t>
        </is>
      </c>
      <c r="H676" s="0" t="inlineStr">
        <is>
          <t>12 PACK</t>
        </is>
      </c>
      <c r="I676" s="0">
        <v>1254</v>
      </c>
      <c r="J676" s="0">
        <v>0</v>
      </c>
    </row>
    <row r="677" spans="1:10" customHeight="0">
      <c r="A677" s="0">
        <f>HYPERLINK("https://dl.dropboxusercontent.com/scl/fi/70c0pf068teu3mboljivi/capital-153967-f.jpg?rlkey=fed2x2rdyj4zr499mnsfeb2ze&amp;dl=0","Click to download Image")</f>
      </c>
      <c r="B677" s="0">
        <f>HYPERLINK("https://dl.dropboxusercontent.com/scl/fi/ky0fp0s98ggv8afjhwdlt/mens-jackets-size-chartscapital.jpg?rlkey=2k23jcvmldj59qr67a6o8gvcx&amp;dl=0","Click to download SizeChart")</f>
      </c>
      <c r="C677" s="0" t="inlineStr">
        <is>
          <t>Capital Men's Jacket</t>
        </is>
      </c>
      <c r="D677" s="1">
        <v>153967</v>
      </c>
      <c r="E677" s="0" t="inlineStr">
        <is>
          <t>IOWA CAPITAL M BK:153967A-S</t>
        </is>
      </c>
      <c r="F677" s="2">
        <v>800153967041</v>
      </c>
      <c r="G677" s="0" t="inlineStr">
        <is>
          <t>MENS</t>
        </is>
      </c>
      <c r="H677" s="0" t="inlineStr">
        <is>
          <t>S</t>
        </is>
      </c>
      <c r="I677" s="0">
        <v>129.99</v>
      </c>
      <c r="J677" s="0">
        <v>1</v>
      </c>
    </row>
    <row r="678" spans="1:10" customHeight="0">
      <c r="A678" s="0">
        <f>HYPERLINK("https://dl.dropboxusercontent.com/scl/fi/70c0pf068teu3mboljivi/capital-153967-f.jpg?rlkey=fed2x2rdyj4zr499mnsfeb2ze&amp;dl=0","Click to download Image")</f>
      </c>
      <c r="B678" s="0">
        <f>HYPERLINK("https://dl.dropboxusercontent.com/scl/fi/ky0fp0s98ggv8afjhwdlt/mens-jackets-size-chartscapital.jpg?rlkey=2k23jcvmldj59qr67a6o8gvcx&amp;dl=0","Click to download SizeChart")</f>
      </c>
      <c r="C678" s="0" t="inlineStr">
        <is>
          <t>Capital Men's Jacket</t>
        </is>
      </c>
      <c r="D678" s="1">
        <v>153967</v>
      </c>
      <c r="E678" s="0" t="inlineStr">
        <is>
          <t>IOWA CAPITAL M BK:153967B-M</t>
        </is>
      </c>
      <c r="F678" s="2">
        <v>800153967058</v>
      </c>
      <c r="G678" s="0" t="inlineStr">
        <is>
          <t>MENS</t>
        </is>
      </c>
      <c r="H678" s="0" t="inlineStr">
        <is>
          <t>M</t>
        </is>
      </c>
      <c r="I678" s="0">
        <v>129.99</v>
      </c>
      <c r="J678" s="0">
        <v>2</v>
      </c>
    </row>
    <row r="679" spans="1:10" customHeight="0">
      <c r="A679" s="0">
        <f>HYPERLINK("https://dl.dropboxusercontent.com/scl/fi/70c0pf068teu3mboljivi/capital-153967-f.jpg?rlkey=fed2x2rdyj4zr499mnsfeb2ze&amp;dl=0","Click to download Image")</f>
      </c>
      <c r="B679" s="0">
        <f>HYPERLINK("https://dl.dropboxusercontent.com/scl/fi/ky0fp0s98ggv8afjhwdlt/mens-jackets-size-chartscapital.jpg?rlkey=2k23jcvmldj59qr67a6o8gvcx&amp;dl=0","Click to download SizeChart")</f>
      </c>
      <c r="C679" s="0" t="inlineStr">
        <is>
          <t>Capital Men's Jacket</t>
        </is>
      </c>
      <c r="D679" s="1">
        <v>153967</v>
      </c>
      <c r="E679" s="0" t="inlineStr">
        <is>
          <t>IOWA CAPITAL M BK:153967C-L</t>
        </is>
      </c>
      <c r="F679" s="2">
        <v>800153967065</v>
      </c>
      <c r="G679" s="0" t="inlineStr">
        <is>
          <t>MENS</t>
        </is>
      </c>
      <c r="H679" s="0" t="inlineStr">
        <is>
          <t>L</t>
        </is>
      </c>
      <c r="I679" s="0">
        <v>129.99</v>
      </c>
      <c r="J679" s="0">
        <v>0</v>
      </c>
    </row>
    <row r="680" spans="1:10" customHeight="0">
      <c r="A680" s="0">
        <f>HYPERLINK("https://dl.dropboxusercontent.com/scl/fi/70c0pf068teu3mboljivi/capital-153967-f.jpg?rlkey=fed2x2rdyj4zr499mnsfeb2ze&amp;dl=0","Click to download Image")</f>
      </c>
      <c r="B680" s="0">
        <f>HYPERLINK("https://dl.dropboxusercontent.com/scl/fi/ky0fp0s98ggv8afjhwdlt/mens-jackets-size-chartscapital.jpg?rlkey=2k23jcvmldj59qr67a6o8gvcx&amp;dl=0","Click to download SizeChart")</f>
      </c>
      <c r="C680" s="0" t="inlineStr">
        <is>
          <t>Capital Men's Jacket</t>
        </is>
      </c>
      <c r="D680" s="1">
        <v>153967</v>
      </c>
      <c r="E680" s="0" t="inlineStr">
        <is>
          <t>IOWA CAPITAL M BK:153967D-XL</t>
        </is>
      </c>
      <c r="F680" s="2">
        <v>800153967072</v>
      </c>
      <c r="G680" s="0" t="inlineStr">
        <is>
          <t>MENS</t>
        </is>
      </c>
      <c r="H680" s="0" t="inlineStr">
        <is>
          <t>XL</t>
        </is>
      </c>
      <c r="I680" s="0">
        <v>129.99</v>
      </c>
      <c r="J680" s="0">
        <v>3</v>
      </c>
    </row>
    <row r="681" spans="1:10" customHeight="0">
      <c r="A681" s="0">
        <f>HYPERLINK("https://dl.dropboxusercontent.com/scl/fi/70c0pf068teu3mboljivi/capital-153967-f.jpg?rlkey=fed2x2rdyj4zr499mnsfeb2ze&amp;dl=0","Click to download Image")</f>
      </c>
      <c r="B681" s="0">
        <f>HYPERLINK("https://dl.dropboxusercontent.com/scl/fi/ky0fp0s98ggv8afjhwdlt/mens-jackets-size-chartscapital.jpg?rlkey=2k23jcvmldj59qr67a6o8gvcx&amp;dl=0","Click to download SizeChart")</f>
      </c>
      <c r="C681" s="0" t="inlineStr">
        <is>
          <t>Capital Men's Jacket</t>
        </is>
      </c>
      <c r="D681" s="1">
        <v>153967</v>
      </c>
      <c r="E681" s="0" t="inlineStr">
        <is>
          <t>IOWA CAPITAL M BK:153967E-2XL</t>
        </is>
      </c>
      <c r="F681" s="2">
        <v>800153967089</v>
      </c>
      <c r="G681" s="0" t="inlineStr">
        <is>
          <t>MENS</t>
        </is>
      </c>
      <c r="H681" s="0" t="inlineStr">
        <is>
          <t>2XL</t>
        </is>
      </c>
      <c r="I681" s="0">
        <v>129.99</v>
      </c>
      <c r="J681" s="0">
        <v>1</v>
      </c>
    </row>
    <row r="682" spans="1:10" customHeight="0">
      <c r="A682" s="0">
        <f>HYPERLINK("https://dl.dropboxusercontent.com/scl/fi/70c0pf068teu3mboljivi/capital-153967-f.jpg?rlkey=fed2x2rdyj4zr499mnsfeb2ze&amp;dl=0","Click to download Image")</f>
      </c>
      <c r="B682" s="0">
        <f>HYPERLINK("https://dl.dropboxusercontent.com/scl/fi/ky0fp0s98ggv8afjhwdlt/mens-jackets-size-chartscapital.jpg?rlkey=2k23jcvmldj59qr67a6o8gvcx&amp;dl=0","Click to download SizeChart")</f>
      </c>
      <c r="C682" s="0" t="inlineStr">
        <is>
          <t>Capital Men's Jacket</t>
        </is>
      </c>
      <c r="D682" s="1">
        <v>153967</v>
      </c>
      <c r="E682" s="0" t="inlineStr">
        <is>
          <t>IOWA CAPITAL M BK:153967F-3XL</t>
        </is>
      </c>
      <c r="F682" s="2">
        <v>800153967096</v>
      </c>
      <c r="G682" s="0" t="inlineStr">
        <is>
          <t>MENS</t>
        </is>
      </c>
      <c r="H682" s="0" t="inlineStr">
        <is>
          <t>3XL</t>
        </is>
      </c>
      <c r="I682" s="0">
        <v>129.99</v>
      </c>
      <c r="J682" s="0">
        <v>0</v>
      </c>
    </row>
    <row r="683" spans="1:10" customHeight="0">
      <c r="A683" s="0">
        <f>HYPERLINK("https://dl.dropboxusercontent.com/scl/fi/gqbt6syqcou53d1i9k6sa/canton-150097-af.jpg?rlkey=qij8d01b9jp2ai7jv3j68amr5&amp;dl=0","Click to download Image")</f>
      </c>
      <c r="C683" s="0" t="inlineStr">
        <is>
          <t>Canton Tote</t>
        </is>
      </c>
      <c r="D683" s="1">
        <v>150097</v>
      </c>
      <c r="E683" s="0" t="inlineStr">
        <is>
          <t>IOWA CANTON  BK:150097</t>
        </is>
      </c>
      <c r="F683" s="2">
        <v>900150097014</v>
      </c>
      <c r="H683" s="0" t="inlineStr">
        <is>
          <t>ONE SIZE</t>
        </is>
      </c>
      <c r="I683" s="0">
        <v>14.99</v>
      </c>
      <c r="J683" s="0">
        <v>110</v>
      </c>
    </row>
    <row r="684" spans="1:10" customHeight="0">
      <c r="A684" s="0">
        <f>HYPERLINK("https://dl.dropboxusercontent.com/scl/fi/sugva267ubc7n594diyh2/granger-150082-tn.jpg?rlkey=jtddhe4g7njmh7r2kblrqlpet&amp;dl=0","Click to download Image")</f>
      </c>
      <c r="C684" s="0" t="inlineStr">
        <is>
          <t>Granger Youth Jacket</t>
        </is>
      </c>
      <c r="D684" s="1">
        <v>150082</v>
      </c>
      <c r="E684" s="0" t="inlineStr">
        <is>
          <t>IOWA GRANGE Y BK:150082B-YS</t>
        </is>
      </c>
      <c r="F684" s="2">
        <v>800150082013</v>
      </c>
      <c r="G684" s="0" t="inlineStr">
        <is>
          <t>YOUTH</t>
        </is>
      </c>
      <c r="H684" s="0" t="inlineStr">
        <is>
          <t>YS</t>
        </is>
      </c>
      <c r="I684" s="0">
        <v>79.99</v>
      </c>
      <c r="J684" s="0">
        <v>12</v>
      </c>
    </row>
    <row r="685" spans="1:10" customHeight="0">
      <c r="A685" s="0">
        <f>HYPERLINK("https://dl.dropboxusercontent.com/scl/fi/sugva267ubc7n594diyh2/granger-150082-tn.jpg?rlkey=jtddhe4g7njmh7r2kblrqlpet&amp;dl=0","Click to download Image")</f>
      </c>
      <c r="C685" s="0" t="inlineStr">
        <is>
          <t>Granger Youth Jacket</t>
        </is>
      </c>
      <c r="D685" s="1">
        <v>150082</v>
      </c>
      <c r="E685" s="0" t="inlineStr">
        <is>
          <t>IOWA GRANGE Y BK:150082C-YM</t>
        </is>
      </c>
      <c r="F685" s="2">
        <v>800150082020</v>
      </c>
      <c r="G685" s="0" t="inlineStr">
        <is>
          <t>YOUTH</t>
        </is>
      </c>
      <c r="H685" s="0" t="inlineStr">
        <is>
          <t>YM</t>
        </is>
      </c>
      <c r="I685" s="0">
        <v>79.99</v>
      </c>
      <c r="J685" s="0">
        <v>12</v>
      </c>
    </row>
    <row r="686" spans="1:10" customHeight="0">
      <c r="A686" s="0">
        <f>HYPERLINK("https://dl.dropboxusercontent.com/scl/fi/sugva267ubc7n594diyh2/granger-150082-tn.jpg?rlkey=jtddhe4g7njmh7r2kblrqlpet&amp;dl=0","Click to download Image")</f>
      </c>
      <c r="C686" s="0" t="inlineStr">
        <is>
          <t>Granger Youth Jacket</t>
        </is>
      </c>
      <c r="D686" s="1">
        <v>150082</v>
      </c>
      <c r="E686" s="0" t="inlineStr">
        <is>
          <t>IOWA GRANGE Y BK:150082D-YL</t>
        </is>
      </c>
      <c r="F686" s="2">
        <v>800150082037</v>
      </c>
      <c r="G686" s="0" t="inlineStr">
        <is>
          <t>YOUTH</t>
        </is>
      </c>
      <c r="H686" s="0" t="inlineStr">
        <is>
          <t>YL</t>
        </is>
      </c>
      <c r="I686" s="0">
        <v>79.99</v>
      </c>
      <c r="J686" s="0">
        <v>12</v>
      </c>
    </row>
    <row r="687" spans="1:10" customHeight="0">
      <c r="A687" s="0">
        <f>HYPERLINK("https://dl.dropboxusercontent.com/scl/fi/sugva267ubc7n594diyh2/granger-150082-tn.jpg?rlkey=jtddhe4g7njmh7r2kblrqlpet&amp;dl=0","Click to download Image")</f>
      </c>
      <c r="C687" s="0" t="inlineStr">
        <is>
          <t>Granger Youth Jacket</t>
        </is>
      </c>
      <c r="D687" s="1">
        <v>150082</v>
      </c>
      <c r="E687" s="0" t="inlineStr">
        <is>
          <t>IOWA GRANGE Y BK:150082E-YXL</t>
        </is>
      </c>
      <c r="F687" s="2">
        <v>800150082044</v>
      </c>
      <c r="G687" s="0" t="inlineStr">
        <is>
          <t>YOUTH</t>
        </is>
      </c>
      <c r="H687" s="0" t="inlineStr">
        <is>
          <t>YXL</t>
        </is>
      </c>
      <c r="I687" s="0">
        <v>79.99</v>
      </c>
      <c r="J687" s="0">
        <v>12</v>
      </c>
    </row>
    <row r="688" spans="1:10" customHeight="0">
      <c r="A688" s="0">
        <f>HYPERLINK("https://dl.dropboxusercontent.com/scl/fi/sugva267ubc7n594diyh2/granger-150082-tn.jpg?rlkey=jtddhe4g7njmh7r2kblrqlpet&amp;dl=0","Click to download Image")</f>
      </c>
      <c r="C688" s="0" t="inlineStr">
        <is>
          <t>Granger Youth Jacket</t>
        </is>
      </c>
      <c r="D688" s="1">
        <v>150082</v>
      </c>
      <c r="E688" s="0" t="inlineStr">
        <is>
          <t>IOWA GRANGE Y BK:150082Z-12PK</t>
        </is>
      </c>
      <c r="F688" s="2">
        <v>800150082990</v>
      </c>
      <c r="G688" s="0" t="inlineStr">
        <is>
          <t>YOUTH</t>
        </is>
      </c>
      <c r="H688" s="0" t="inlineStr">
        <is>
          <t>12 PACK</t>
        </is>
      </c>
      <c r="I688" s="0">
        <v>768</v>
      </c>
      <c r="J688" s="0">
        <v>0</v>
      </c>
    </row>
    <row r="689" spans="1:10" customHeight="0">
      <c r="A689" s="0">
        <f>HYPERLINK("https://dl.dropboxusercontent.com/scl/fi/3hopdmrrb8f8drxxsazre/125433t.jpg?rlkey=ek5zygntvhm8ua45jwy5t35vb&amp;dl=0","Click to download Image")</f>
      </c>
      <c r="C689" s="0" t="inlineStr">
        <is>
          <t>Mazie Women's Cap</t>
        </is>
      </c>
      <c r="D689" s="1">
        <v>125433</v>
      </c>
      <c r="E689" s="0" t="inlineStr">
        <is>
          <t>IOWA MAZIE A BK:125433</t>
        </is>
      </c>
      <c r="F689" s="2">
        <v>700125433010</v>
      </c>
      <c r="G689" s="0" t="inlineStr">
        <is>
          <t>WOMENS</t>
        </is>
      </c>
      <c r="H689" s="0" t="inlineStr">
        <is>
          <t>WOMENS</t>
        </is>
      </c>
      <c r="I689" s="0">
        <v>22.99</v>
      </c>
      <c r="J689" s="0">
        <v>44</v>
      </c>
    </row>
    <row r="690" spans="1:10" customHeight="0">
      <c r="A690" s="0">
        <f>HYPERLINK("https://dl.dropboxusercontent.com/scl/fi/g5vwk12owuslbiy445em2/alviat.jpg?rlkey=mlvb7ujz7tc8yjm71z4ago7r6&amp;dl=0","Click to download Image")</f>
      </c>
      <c r="C690" s="0" t="inlineStr">
        <is>
          <t>Alvia Tote Bag</t>
        </is>
      </c>
      <c r="D690" s="1">
        <v>123389</v>
      </c>
      <c r="E690" s="0" t="inlineStr">
        <is>
          <t>IOWA ALVIA BK:123389</t>
        </is>
      </c>
      <c r="F690" s="2">
        <v>900123389016</v>
      </c>
      <c r="H690" s="0" t="inlineStr">
        <is>
          <t>ONE SIZE</t>
        </is>
      </c>
      <c r="I690" s="0">
        <v>49.99</v>
      </c>
      <c r="J690" s="0">
        <v>8</v>
      </c>
    </row>
    <row r="691" spans="1:10" customHeight="0">
      <c r="A691" s="0">
        <f>HYPERLINK("https://dl.dropboxusercontent.com/scl/fi/wbz6hz56omfbvb8cilxvr/124911-f.jpg?rlkey=i1f1c1fokh22lsduml7nnrkcx&amp;dl=0","Click to download Image")</f>
      </c>
      <c r="B691" s="0">
        <f>HYPERLINK("https://dl.dropboxusercontent.com/scl/fi/kcwdomu86h720nzo17zlg/womens-t-shirt-size-chartsmegg.jpg?rlkey=fe66djaw0eqewa91sfszonufg&amp;dl=0","Click to download SizeChart")</f>
      </c>
      <c r="C691" s="0" t="inlineStr">
        <is>
          <t>Megg Women's T-shirt</t>
        </is>
      </c>
      <c r="D691" s="1">
        <v>124911</v>
      </c>
      <c r="E691" s="0" t="inlineStr">
        <is>
          <t>IOWA MEGG W GY:124911A-S</t>
        </is>
      </c>
      <c r="F691" s="2">
        <v>800124911042</v>
      </c>
      <c r="G691" s="0" t="inlineStr">
        <is>
          <t>WOMENS</t>
        </is>
      </c>
      <c r="H691" s="0" t="inlineStr">
        <is>
          <t>S</t>
        </is>
      </c>
      <c r="I691" s="0">
        <v>29.99</v>
      </c>
      <c r="J691" s="0">
        <v>3</v>
      </c>
    </row>
    <row r="692" spans="1:10" customHeight="0">
      <c r="A692" s="0">
        <f>HYPERLINK("https://dl.dropboxusercontent.com/scl/fi/wbz6hz56omfbvb8cilxvr/124911-f.jpg?rlkey=i1f1c1fokh22lsduml7nnrkcx&amp;dl=0","Click to download Image")</f>
      </c>
      <c r="B692" s="0">
        <f>HYPERLINK("https://dl.dropboxusercontent.com/scl/fi/kcwdomu86h720nzo17zlg/womens-t-shirt-size-chartsmegg.jpg?rlkey=fe66djaw0eqewa91sfszonufg&amp;dl=0","Click to download SizeChart")</f>
      </c>
      <c r="C692" s="0" t="inlineStr">
        <is>
          <t>Megg Women's T-shirt</t>
        </is>
      </c>
      <c r="D692" s="1">
        <v>124911</v>
      </c>
      <c r="E692" s="0" t="inlineStr">
        <is>
          <t>IOWA MEGG W GY:124911B-M</t>
        </is>
      </c>
      <c r="F692" s="2">
        <v>800124911059</v>
      </c>
      <c r="G692" s="0" t="inlineStr">
        <is>
          <t>WOMENS</t>
        </is>
      </c>
      <c r="H692" s="0" t="inlineStr">
        <is>
          <t>M</t>
        </is>
      </c>
      <c r="I692" s="0">
        <v>29.99</v>
      </c>
      <c r="J692" s="0">
        <v>7</v>
      </c>
    </row>
    <row r="693" spans="1:10" customHeight="0">
      <c r="A693" s="0">
        <f>HYPERLINK("https://dl.dropboxusercontent.com/scl/fi/wbz6hz56omfbvb8cilxvr/124911-f.jpg?rlkey=i1f1c1fokh22lsduml7nnrkcx&amp;dl=0","Click to download Image")</f>
      </c>
      <c r="B693" s="0">
        <f>HYPERLINK("https://dl.dropboxusercontent.com/scl/fi/kcwdomu86h720nzo17zlg/womens-t-shirt-size-chartsmegg.jpg?rlkey=fe66djaw0eqewa91sfszonufg&amp;dl=0","Click to download SizeChart")</f>
      </c>
      <c r="C693" s="0" t="inlineStr">
        <is>
          <t>Megg Women's T-shirt</t>
        </is>
      </c>
      <c r="D693" s="1">
        <v>124911</v>
      </c>
      <c r="E693" s="0" t="inlineStr">
        <is>
          <t>IOWA MEGG W GY:124911C-L</t>
        </is>
      </c>
      <c r="F693" s="2">
        <v>800124911066</v>
      </c>
      <c r="G693" s="0" t="inlineStr">
        <is>
          <t>WOMENS</t>
        </is>
      </c>
      <c r="H693" s="0" t="inlineStr">
        <is>
          <t>L</t>
        </is>
      </c>
      <c r="I693" s="0">
        <v>29.99</v>
      </c>
      <c r="J693" s="0">
        <v>8</v>
      </c>
    </row>
    <row r="694" spans="1:10" customHeight="0">
      <c r="A694" s="0">
        <f>HYPERLINK("https://dl.dropboxusercontent.com/scl/fi/wbz6hz56omfbvb8cilxvr/124911-f.jpg?rlkey=i1f1c1fokh22lsduml7nnrkcx&amp;dl=0","Click to download Image")</f>
      </c>
      <c r="B694" s="0">
        <f>HYPERLINK("https://dl.dropboxusercontent.com/scl/fi/kcwdomu86h720nzo17zlg/womens-t-shirt-size-chartsmegg.jpg?rlkey=fe66djaw0eqewa91sfszonufg&amp;dl=0","Click to download SizeChart")</f>
      </c>
      <c r="C694" s="0" t="inlineStr">
        <is>
          <t>Megg Women's T-shirt</t>
        </is>
      </c>
      <c r="D694" s="1">
        <v>124911</v>
      </c>
      <c r="E694" s="0" t="inlineStr">
        <is>
          <t>IOWA MEGG W GY:124911D-XL</t>
        </is>
      </c>
      <c r="F694" s="2">
        <v>800124911073</v>
      </c>
      <c r="G694" s="0" t="inlineStr">
        <is>
          <t>WOMENS</t>
        </is>
      </c>
      <c r="H694" s="0" t="inlineStr">
        <is>
          <t>XL</t>
        </is>
      </c>
      <c r="I694" s="0">
        <v>29.99</v>
      </c>
      <c r="J694" s="0">
        <v>0</v>
      </c>
    </row>
    <row r="695" spans="1:10" customHeight="0">
      <c r="A695" s="0">
        <f>HYPERLINK("https://dl.dropboxusercontent.com/scl/fi/wbz6hz56omfbvb8cilxvr/124911-f.jpg?rlkey=i1f1c1fokh22lsduml7nnrkcx&amp;dl=0","Click to download Image")</f>
      </c>
      <c r="B695" s="0">
        <f>HYPERLINK("https://dl.dropboxusercontent.com/scl/fi/kcwdomu86h720nzo17zlg/womens-t-shirt-size-chartsmegg.jpg?rlkey=fe66djaw0eqewa91sfszonufg&amp;dl=0","Click to download SizeChart")</f>
      </c>
      <c r="C695" s="0" t="inlineStr">
        <is>
          <t>Megg Women's T-shirt</t>
        </is>
      </c>
      <c r="D695" s="1">
        <v>124911</v>
      </c>
      <c r="E695" s="0" t="inlineStr">
        <is>
          <t>IOWA MEGG W GY:124911E-2XL</t>
        </is>
      </c>
      <c r="F695" s="2">
        <v>800124911080</v>
      </c>
      <c r="G695" s="0" t="inlineStr">
        <is>
          <t>WOMENS</t>
        </is>
      </c>
      <c r="H695" s="0" t="inlineStr">
        <is>
          <t>2XL</t>
        </is>
      </c>
      <c r="I695" s="0">
        <v>29.99</v>
      </c>
      <c r="J695" s="0">
        <v>4</v>
      </c>
    </row>
    <row r="696" spans="1:10" customHeight="0">
      <c r="A696" s="0">
        <f>HYPERLINK("https://dl.dropboxusercontent.com/scl/fi/wbz6hz56omfbvb8cilxvr/124911-f.jpg?rlkey=i1f1c1fokh22lsduml7nnrkcx&amp;dl=0","Click to download Image")</f>
      </c>
      <c r="B696" s="0">
        <f>HYPERLINK("https://dl.dropboxusercontent.com/scl/fi/kcwdomu86h720nzo17zlg/womens-t-shirt-size-chartsmegg.jpg?rlkey=fe66djaw0eqewa91sfszonufg&amp;dl=0","Click to download SizeChart")</f>
      </c>
      <c r="C696" s="0" t="inlineStr">
        <is>
          <t>Megg Women's T-shirt</t>
        </is>
      </c>
      <c r="D696" s="1">
        <v>124911</v>
      </c>
      <c r="E696" s="0" t="inlineStr">
        <is>
          <t>IOWA MEGG W GY:124911F-3XL</t>
        </is>
      </c>
      <c r="F696" s="2">
        <v>800124911097</v>
      </c>
      <c r="G696" s="0" t="inlineStr">
        <is>
          <t>WOMENS</t>
        </is>
      </c>
      <c r="H696" s="0" t="inlineStr">
        <is>
          <t>3XL</t>
        </is>
      </c>
      <c r="I696" s="0">
        <v>29.99</v>
      </c>
      <c r="J696" s="0">
        <v>2</v>
      </c>
    </row>
    <row r="697" spans="1:10" customHeight="0">
      <c r="A697" s="0">
        <f>HYPERLINK("https://dl.dropboxusercontent.com/scl/fi/wbz6hz56omfbvb8cilxvr/124911-f.jpg?rlkey=i1f1c1fokh22lsduml7nnrkcx&amp;dl=0","Click to download Image")</f>
      </c>
      <c r="B697" s="0">
        <f>HYPERLINK("https://dl.dropboxusercontent.com/scl/fi/kcwdomu86h720nzo17zlg/womens-t-shirt-size-chartsmegg.jpg?rlkey=fe66djaw0eqewa91sfszonufg&amp;dl=0","Click to download SizeChart")</f>
      </c>
      <c r="C697" s="0" t="inlineStr">
        <is>
          <t>Megg Women's T-shirt</t>
        </is>
      </c>
      <c r="D697" s="1">
        <v>124911</v>
      </c>
      <c r="E697" s="0" t="inlineStr">
        <is>
          <t>IOWA MEGG W GY 12PK:124911Z-12PK</t>
        </is>
      </c>
      <c r="F697" s="2">
        <v>800124911998</v>
      </c>
      <c r="G697" s="0" t="inlineStr">
        <is>
          <t>WOMENS</t>
        </is>
      </c>
      <c r="H697" s="0" t="inlineStr">
        <is>
          <t>12 PACK</t>
        </is>
      </c>
      <c r="I697" s="0">
        <v>288</v>
      </c>
      <c r="J697" s="0">
        <v>0</v>
      </c>
    </row>
    <row r="698" spans="1:10" customHeight="0">
      <c r="A698" s="0">
        <f>HYPERLINK("https://dl.dropboxusercontent.com/scl/fi/giih9yw63kcexaby0o48l/iowa-knox.jpg?rlkey=83kgkmrd97d8a7sa7vv777swf&amp;dl=0","Click to download Image")</f>
      </c>
      <c r="B698" s="0">
        <f>HYPERLINK("https://dl.dropboxusercontent.com/scl/fi/163k377gfn6h1h3tyvdtr/mens-jackets-size-chartsknox.jpg?rlkey=6tpng0qgcrenc7tv5r0ybajyn&amp;dl=0","Click to download SizeChart")</f>
      </c>
      <c r="C698" s="0" t="inlineStr">
        <is>
          <t>Knox Men's Jacket</t>
        </is>
      </c>
      <c r="D698" s="1">
        <v>113376</v>
      </c>
      <c r="E698" s="0" t="inlineStr">
        <is>
          <t>IOWA KNOX M BLACK:113376A - S</t>
        </is>
      </c>
      <c r="G698" s="0" t="inlineStr">
        <is>
          <t>MENS</t>
        </is>
      </c>
      <c r="H698" s="0" t="inlineStr">
        <is>
          <t>S</t>
        </is>
      </c>
      <c r="I698" s="0">
        <v>59.99</v>
      </c>
      <c r="J698" s="0">
        <v>1</v>
      </c>
    </row>
    <row r="699" spans="1:10" customHeight="0">
      <c r="A699" s="0">
        <f>HYPERLINK("https://dl.dropboxusercontent.com/scl/fi/giih9yw63kcexaby0o48l/iowa-knox.jpg?rlkey=83kgkmrd97d8a7sa7vv777swf&amp;dl=0","Click to download Image")</f>
      </c>
      <c r="B699" s="0">
        <f>HYPERLINK("https://dl.dropboxusercontent.com/scl/fi/163k377gfn6h1h3tyvdtr/mens-jackets-size-chartsknox.jpg?rlkey=6tpng0qgcrenc7tv5r0ybajyn&amp;dl=0","Click to download SizeChart")</f>
      </c>
      <c r="C699" s="0" t="inlineStr">
        <is>
          <t>Knox Men's Jacket</t>
        </is>
      </c>
      <c r="D699" s="1">
        <v>113376</v>
      </c>
      <c r="E699" s="0" t="inlineStr">
        <is>
          <t>IOWA KNOX M BLACK:113376B - M</t>
        </is>
      </c>
      <c r="G699" s="0" t="inlineStr">
        <is>
          <t>MENS</t>
        </is>
      </c>
      <c r="H699" s="0" t="inlineStr">
        <is>
          <t>M</t>
        </is>
      </c>
      <c r="I699" s="0">
        <v>59.99</v>
      </c>
      <c r="J699" s="0">
        <v>5</v>
      </c>
    </row>
    <row r="700" spans="1:10" customHeight="0">
      <c r="A700" s="0">
        <f>HYPERLINK("https://dl.dropboxusercontent.com/scl/fi/giih9yw63kcexaby0o48l/iowa-knox.jpg?rlkey=83kgkmrd97d8a7sa7vv777swf&amp;dl=0","Click to download Image")</f>
      </c>
      <c r="B700" s="0">
        <f>HYPERLINK("https://dl.dropboxusercontent.com/scl/fi/163k377gfn6h1h3tyvdtr/mens-jackets-size-chartsknox.jpg?rlkey=6tpng0qgcrenc7tv5r0ybajyn&amp;dl=0","Click to download SizeChart")</f>
      </c>
      <c r="C700" s="0" t="inlineStr">
        <is>
          <t>Knox Men's Jacket</t>
        </is>
      </c>
      <c r="D700" s="1">
        <v>113376</v>
      </c>
      <c r="E700" s="0" t="inlineStr">
        <is>
          <t>IOWA KNOX M BLACK:113376C - L</t>
        </is>
      </c>
      <c r="G700" s="0" t="inlineStr">
        <is>
          <t>MENS</t>
        </is>
      </c>
      <c r="H700" s="0" t="inlineStr">
        <is>
          <t>L</t>
        </is>
      </c>
      <c r="I700" s="0">
        <v>59.99</v>
      </c>
      <c r="J700" s="0">
        <v>0</v>
      </c>
    </row>
    <row r="701" spans="1:10" customHeight="0">
      <c r="A701" s="0">
        <f>HYPERLINK("https://dl.dropboxusercontent.com/scl/fi/giih9yw63kcexaby0o48l/iowa-knox.jpg?rlkey=83kgkmrd97d8a7sa7vv777swf&amp;dl=0","Click to download Image")</f>
      </c>
      <c r="B701" s="0">
        <f>HYPERLINK("https://dl.dropboxusercontent.com/scl/fi/163k377gfn6h1h3tyvdtr/mens-jackets-size-chartsknox.jpg?rlkey=6tpng0qgcrenc7tv5r0ybajyn&amp;dl=0","Click to download SizeChart")</f>
      </c>
      <c r="C701" s="0" t="inlineStr">
        <is>
          <t>Knox Men's Jacket</t>
        </is>
      </c>
      <c r="D701" s="1">
        <v>113376</v>
      </c>
      <c r="E701" s="0" t="inlineStr">
        <is>
          <t>IOWA KNOX M BLACK:113376D - XL</t>
        </is>
      </c>
      <c r="G701" s="0" t="inlineStr">
        <is>
          <t>MENS</t>
        </is>
      </c>
      <c r="H701" s="0" t="inlineStr">
        <is>
          <t>XL</t>
        </is>
      </c>
      <c r="I701" s="0">
        <v>59.99</v>
      </c>
      <c r="J701" s="0">
        <v>0</v>
      </c>
    </row>
    <row r="702" spans="1:10" customHeight="0">
      <c r="A702" s="0">
        <f>HYPERLINK("https://dl.dropboxusercontent.com/scl/fi/giih9yw63kcexaby0o48l/iowa-knox.jpg?rlkey=83kgkmrd97d8a7sa7vv777swf&amp;dl=0","Click to download Image")</f>
      </c>
      <c r="B702" s="0">
        <f>HYPERLINK("https://dl.dropboxusercontent.com/scl/fi/163k377gfn6h1h3tyvdtr/mens-jackets-size-chartsknox.jpg?rlkey=6tpng0qgcrenc7tv5r0ybajyn&amp;dl=0","Click to download SizeChart")</f>
      </c>
      <c r="C702" s="0" t="inlineStr">
        <is>
          <t>Knox Men's Jacket</t>
        </is>
      </c>
      <c r="D702" s="1">
        <v>113376</v>
      </c>
      <c r="E702" s="0" t="inlineStr">
        <is>
          <t>IOWA KNOX M BLACK:113376E - 2XL</t>
        </is>
      </c>
      <c r="G702" s="0" t="inlineStr">
        <is>
          <t>MENS</t>
        </is>
      </c>
      <c r="H702" s="0" t="inlineStr">
        <is>
          <t>2XL</t>
        </is>
      </c>
      <c r="I702" s="0">
        <v>59.99</v>
      </c>
      <c r="J702" s="0">
        <v>5</v>
      </c>
    </row>
    <row r="703" spans="1:10" customHeight="0">
      <c r="A703" s="0">
        <f>HYPERLINK("https://dl.dropboxusercontent.com/scl/fi/giih9yw63kcexaby0o48l/iowa-knox.jpg?rlkey=83kgkmrd97d8a7sa7vv777swf&amp;dl=0","Click to download Image")</f>
      </c>
      <c r="B703" s="0">
        <f>HYPERLINK("https://dl.dropboxusercontent.com/scl/fi/163k377gfn6h1h3tyvdtr/mens-jackets-size-chartsknox.jpg?rlkey=6tpng0qgcrenc7tv5r0ybajyn&amp;dl=0","Click to download SizeChart")</f>
      </c>
      <c r="C703" s="0" t="inlineStr">
        <is>
          <t>Knox Men's Jacket</t>
        </is>
      </c>
      <c r="D703" s="1">
        <v>113376</v>
      </c>
      <c r="E703" s="0" t="inlineStr">
        <is>
          <t>IOWA KNOX M BLACK:113376F - 3XL</t>
        </is>
      </c>
      <c r="G703" s="0" t="inlineStr">
        <is>
          <t>MENS</t>
        </is>
      </c>
      <c r="H703" s="0" t="inlineStr">
        <is>
          <t>3XL</t>
        </is>
      </c>
      <c r="I703" s="0">
        <v>59.99</v>
      </c>
      <c r="J703" s="0">
        <v>4</v>
      </c>
    </row>
    <row r="704" spans="1:10" customHeight="0">
      <c r="A704" s="0">
        <f>HYPERLINK("https://dl.dropboxusercontent.com/scl/fi/giih9yw63kcexaby0o48l/iowa-knox.jpg?rlkey=83kgkmrd97d8a7sa7vv777swf&amp;dl=0","Click to download Image")</f>
      </c>
      <c r="B704" s="0">
        <f>HYPERLINK("https://dl.dropboxusercontent.com/scl/fi/163k377gfn6h1h3tyvdtr/mens-jackets-size-chartsknox.jpg?rlkey=6tpng0qgcrenc7tv5r0ybajyn&amp;dl=0","Click to download SizeChart")</f>
      </c>
      <c r="C704" s="0" t="inlineStr">
        <is>
          <t>Knox Men's Jacket</t>
        </is>
      </c>
      <c r="D704" s="1">
        <v>113376</v>
      </c>
      <c r="E704" s="0" t="inlineStr">
        <is>
          <t>IOWA KNOX M BLACK 12 PACK (113376)</t>
        </is>
      </c>
      <c r="G704" s="0" t="inlineStr">
        <is>
          <t>MENS</t>
        </is>
      </c>
      <c r="H704" s="0" t="inlineStr">
        <is>
          <t>12 PACK</t>
        </is>
      </c>
      <c r="I704" s="0">
        <v>582</v>
      </c>
      <c r="J704" s="0">
        <v>0</v>
      </c>
    </row>
    <row r="705" spans="1:10" customHeight="0">
      <c r="A705" s="0">
        <f>HYPERLINK("https://dl.dropboxusercontent.com/scl/fi/pg2aos7q04rq2fzo1x1h5/124957t.jpg?rlkey=y1rn8k3pztrh7emojeel6hfpi&amp;dl=0","Click to download Image")</f>
      </c>
      <c r="C705" s="0" t="inlineStr">
        <is>
          <t>Alda Women's Long Sleeve</t>
        </is>
      </c>
      <c r="D705" s="1">
        <v>124957</v>
      </c>
      <c r="E705" s="0" t="inlineStr">
        <is>
          <t>IOWA ALDA W BK:124957A-S</t>
        </is>
      </c>
      <c r="F705" s="2">
        <v>800124957040</v>
      </c>
      <c r="G705" s="0" t="inlineStr">
        <is>
          <t>WOMENS</t>
        </is>
      </c>
      <c r="H705" s="0" t="inlineStr">
        <is>
          <t>S</t>
        </is>
      </c>
      <c r="I705" s="0">
        <v>39.99</v>
      </c>
      <c r="J705" s="0">
        <v>4</v>
      </c>
    </row>
    <row r="706" spans="1:10" customHeight="0">
      <c r="A706" s="0">
        <f>HYPERLINK("https://dl.dropboxusercontent.com/scl/fi/pg2aos7q04rq2fzo1x1h5/124957t.jpg?rlkey=y1rn8k3pztrh7emojeel6hfpi&amp;dl=0","Click to download Image")</f>
      </c>
      <c r="C706" s="0" t="inlineStr">
        <is>
          <t>Alda Women's Long Sleeve</t>
        </is>
      </c>
      <c r="D706" s="1">
        <v>124957</v>
      </c>
      <c r="E706" s="0" t="inlineStr">
        <is>
          <t>IOWA ALDA W BK:124957B-M</t>
        </is>
      </c>
      <c r="F706" s="2">
        <v>800124957057</v>
      </c>
      <c r="G706" s="0" t="inlineStr">
        <is>
          <t>WOMENS</t>
        </is>
      </c>
      <c r="H706" s="0" t="inlineStr">
        <is>
          <t>M</t>
        </is>
      </c>
      <c r="I706" s="0">
        <v>39.99</v>
      </c>
      <c r="J706" s="0">
        <v>7</v>
      </c>
    </row>
    <row r="707" spans="1:10" customHeight="0">
      <c r="A707" s="0">
        <f>HYPERLINK("https://dl.dropboxusercontent.com/scl/fi/pg2aos7q04rq2fzo1x1h5/124957t.jpg?rlkey=y1rn8k3pztrh7emojeel6hfpi&amp;dl=0","Click to download Image")</f>
      </c>
      <c r="C707" s="0" t="inlineStr">
        <is>
          <t>Alda Women's Long Sleeve</t>
        </is>
      </c>
      <c r="D707" s="1">
        <v>124957</v>
      </c>
      <c r="E707" s="0" t="inlineStr">
        <is>
          <t>IOWA ALDA W BK:124957C-L</t>
        </is>
      </c>
      <c r="F707" s="2">
        <v>800124957064</v>
      </c>
      <c r="G707" s="0" t="inlineStr">
        <is>
          <t>WOMENS</t>
        </is>
      </c>
      <c r="H707" s="0" t="inlineStr">
        <is>
          <t>L</t>
        </is>
      </c>
      <c r="I707" s="0">
        <v>39.99</v>
      </c>
      <c r="J707" s="0">
        <v>3</v>
      </c>
    </row>
    <row r="708" spans="1:10" customHeight="0">
      <c r="A708" s="0">
        <f>HYPERLINK("https://dl.dropboxusercontent.com/scl/fi/pg2aos7q04rq2fzo1x1h5/124957t.jpg?rlkey=y1rn8k3pztrh7emojeel6hfpi&amp;dl=0","Click to download Image")</f>
      </c>
      <c r="C708" s="0" t="inlineStr">
        <is>
          <t>Alda Women's Long Sleeve</t>
        </is>
      </c>
      <c r="D708" s="1">
        <v>124957</v>
      </c>
      <c r="E708" s="0" t="inlineStr">
        <is>
          <t>IOWA ALDA W BK:124957D-XL</t>
        </is>
      </c>
      <c r="F708" s="2">
        <v>800124957071</v>
      </c>
      <c r="G708" s="0" t="inlineStr">
        <is>
          <t>WOMENS</t>
        </is>
      </c>
      <c r="H708" s="0" t="inlineStr">
        <is>
          <t>XL</t>
        </is>
      </c>
      <c r="I708" s="0">
        <v>39.99</v>
      </c>
      <c r="J708" s="0">
        <v>0</v>
      </c>
    </row>
    <row r="709" spans="1:10" customHeight="0">
      <c r="A709" s="0">
        <f>HYPERLINK("https://dl.dropboxusercontent.com/scl/fi/pg2aos7q04rq2fzo1x1h5/124957t.jpg?rlkey=y1rn8k3pztrh7emojeel6hfpi&amp;dl=0","Click to download Image")</f>
      </c>
      <c r="C709" s="0" t="inlineStr">
        <is>
          <t>Alda Women's Long Sleeve</t>
        </is>
      </c>
      <c r="D709" s="1">
        <v>124957</v>
      </c>
      <c r="E709" s="0" t="inlineStr">
        <is>
          <t>IOWA ALDA W BK:124957E-2XL</t>
        </is>
      </c>
      <c r="F709" s="2">
        <v>800124957088</v>
      </c>
      <c r="G709" s="0" t="inlineStr">
        <is>
          <t>WOMENS</t>
        </is>
      </c>
      <c r="H709" s="0" t="inlineStr">
        <is>
          <t>2XL</t>
        </is>
      </c>
      <c r="I709" s="0">
        <v>39.99</v>
      </c>
      <c r="J709" s="0">
        <v>1</v>
      </c>
    </row>
    <row r="710" spans="1:10" customHeight="0">
      <c r="A710" s="0">
        <f>HYPERLINK("https://dl.dropboxusercontent.com/scl/fi/pg2aos7q04rq2fzo1x1h5/124957t.jpg?rlkey=y1rn8k3pztrh7emojeel6hfpi&amp;dl=0","Click to download Image")</f>
      </c>
      <c r="C710" s="0" t="inlineStr">
        <is>
          <t>Alda Women's Long Sleeve</t>
        </is>
      </c>
      <c r="D710" s="1">
        <v>124957</v>
      </c>
      <c r="E710" s="0" t="inlineStr">
        <is>
          <t>IOWA ALDA W BK:124957F-3XL</t>
        </is>
      </c>
      <c r="F710" s="2">
        <v>800124957095</v>
      </c>
      <c r="G710" s="0" t="inlineStr">
        <is>
          <t>WOMENS</t>
        </is>
      </c>
      <c r="H710" s="0" t="inlineStr">
        <is>
          <t>3XL</t>
        </is>
      </c>
      <c r="I710" s="0">
        <v>39.99</v>
      </c>
      <c r="J710" s="0">
        <v>0</v>
      </c>
    </row>
    <row r="711" spans="1:10" customHeight="0">
      <c r="A711" s="0">
        <f>HYPERLINK("https://dl.dropboxusercontent.com/scl/fi/pg2aos7q04rq2fzo1x1h5/124957t.jpg?rlkey=y1rn8k3pztrh7emojeel6hfpi&amp;dl=0","Click to download Image")</f>
      </c>
      <c r="C711" s="0" t="inlineStr">
        <is>
          <t>Alda Women's Long Sleeve</t>
        </is>
      </c>
      <c r="D711" s="1">
        <v>124957</v>
      </c>
      <c r="E711" s="0" t="inlineStr">
        <is>
          <t>IOWA ALDA W BK 12PK:124957Z-12PK</t>
        </is>
      </c>
      <c r="F711" s="2">
        <v>800124957996</v>
      </c>
      <c r="G711" s="0" t="inlineStr">
        <is>
          <t>WOMENS</t>
        </is>
      </c>
      <c r="H711" s="0" t="inlineStr">
        <is>
          <t>12 PACK</t>
        </is>
      </c>
      <c r="I711" s="0">
        <v>384</v>
      </c>
      <c r="J711" s="0">
        <v>0</v>
      </c>
    </row>
    <row r="712" spans="1:10" customHeight="0">
      <c r="A712" s="0">
        <f>HYPERLINK("https://dl.dropboxusercontent.com/scl/fi/bk33vkteuqnid3dgu3c92/124544t.jpg?rlkey=zu2sjlbao74gqdktzijgrkmn4&amp;dl=0","Click to download Image")</f>
      </c>
      <c r="B712" s="0">
        <f>HYPERLINK("https://dl.dropboxusercontent.com/scl/fi/tih7loprby3oluntnbhdc/womens-t-shirt-size-chartsnova.jpg?rlkey=as0cd89khdyt4hponlpp78lvc&amp;dl=0","Click to download SizeChart")</f>
      </c>
      <c r="C712" s="0" t="inlineStr">
        <is>
          <t>Nova Women's Long Sleeve</t>
        </is>
      </c>
      <c r="D712" s="1">
        <v>124544</v>
      </c>
      <c r="E712" s="0" t="inlineStr">
        <is>
          <t>IOWA NOVA W BK:124544A-S</t>
        </is>
      </c>
      <c r="F712" s="2">
        <v>800124544042</v>
      </c>
      <c r="G712" s="0" t="inlineStr">
        <is>
          <t>WOMENS</t>
        </is>
      </c>
      <c r="H712" s="0" t="inlineStr">
        <is>
          <t>S</t>
        </is>
      </c>
      <c r="I712" s="0">
        <v>34.99</v>
      </c>
      <c r="J712" s="0">
        <v>3</v>
      </c>
    </row>
    <row r="713" spans="1:10" customHeight="0">
      <c r="A713" s="0">
        <f>HYPERLINK("https://dl.dropboxusercontent.com/scl/fi/bk33vkteuqnid3dgu3c92/124544t.jpg?rlkey=zu2sjlbao74gqdktzijgrkmn4&amp;dl=0","Click to download Image")</f>
      </c>
      <c r="B713" s="0">
        <f>HYPERLINK("https://dl.dropboxusercontent.com/scl/fi/tih7loprby3oluntnbhdc/womens-t-shirt-size-chartsnova.jpg?rlkey=as0cd89khdyt4hponlpp78lvc&amp;dl=0","Click to download SizeChart")</f>
      </c>
      <c r="C713" s="0" t="inlineStr">
        <is>
          <t>Nova Women's Long Sleeve</t>
        </is>
      </c>
      <c r="D713" s="1">
        <v>124544</v>
      </c>
      <c r="E713" s="0" t="inlineStr">
        <is>
          <t>IOWA NOVA W BK:124544B-M</t>
        </is>
      </c>
      <c r="F713" s="2">
        <v>800124544059</v>
      </c>
      <c r="G713" s="0" t="inlineStr">
        <is>
          <t>WOMENS</t>
        </is>
      </c>
      <c r="H713" s="0" t="inlineStr">
        <is>
          <t>M</t>
        </is>
      </c>
      <c r="I713" s="0">
        <v>34.99</v>
      </c>
      <c r="J713" s="0">
        <v>9</v>
      </c>
    </row>
    <row r="714" spans="1:10" customHeight="0">
      <c r="A714" s="0">
        <f>HYPERLINK("https://dl.dropboxusercontent.com/scl/fi/bk33vkteuqnid3dgu3c92/124544t.jpg?rlkey=zu2sjlbao74gqdktzijgrkmn4&amp;dl=0","Click to download Image")</f>
      </c>
      <c r="B714" s="0">
        <f>HYPERLINK("https://dl.dropboxusercontent.com/scl/fi/tih7loprby3oluntnbhdc/womens-t-shirt-size-chartsnova.jpg?rlkey=as0cd89khdyt4hponlpp78lvc&amp;dl=0","Click to download SizeChart")</f>
      </c>
      <c r="C714" s="0" t="inlineStr">
        <is>
          <t>Nova Women's Long Sleeve</t>
        </is>
      </c>
      <c r="D714" s="1">
        <v>124544</v>
      </c>
      <c r="E714" s="0" t="inlineStr">
        <is>
          <t>IOWA NOVA W BK:124544C-L</t>
        </is>
      </c>
      <c r="F714" s="2">
        <v>800124544066</v>
      </c>
      <c r="G714" s="0" t="inlineStr">
        <is>
          <t>WOMENS</t>
        </is>
      </c>
      <c r="H714" s="0" t="inlineStr">
        <is>
          <t>L</t>
        </is>
      </c>
      <c r="I714" s="0">
        <v>34.99</v>
      </c>
      <c r="J714" s="0">
        <v>8</v>
      </c>
    </row>
    <row r="715" spans="1:10" customHeight="0">
      <c r="A715" s="0">
        <f>HYPERLINK("https://dl.dropboxusercontent.com/scl/fi/bk33vkteuqnid3dgu3c92/124544t.jpg?rlkey=zu2sjlbao74gqdktzijgrkmn4&amp;dl=0","Click to download Image")</f>
      </c>
      <c r="B715" s="0">
        <f>HYPERLINK("https://dl.dropboxusercontent.com/scl/fi/tih7loprby3oluntnbhdc/womens-t-shirt-size-chartsnova.jpg?rlkey=as0cd89khdyt4hponlpp78lvc&amp;dl=0","Click to download SizeChart")</f>
      </c>
      <c r="C715" s="0" t="inlineStr">
        <is>
          <t>Nova Women's Long Sleeve</t>
        </is>
      </c>
      <c r="D715" s="1">
        <v>124544</v>
      </c>
      <c r="E715" s="0" t="inlineStr">
        <is>
          <t>IOWA NOVA W BK:124544D-XL</t>
        </is>
      </c>
      <c r="F715" s="2">
        <v>800124544073</v>
      </c>
      <c r="G715" s="0" t="inlineStr">
        <is>
          <t>WOMENS</t>
        </is>
      </c>
      <c r="H715" s="0" t="inlineStr">
        <is>
          <t>XL</t>
        </is>
      </c>
      <c r="I715" s="0">
        <v>34.99</v>
      </c>
      <c r="J715" s="0">
        <v>0</v>
      </c>
    </row>
    <row r="716" spans="1:10" customHeight="0">
      <c r="A716" s="0">
        <f>HYPERLINK("https://dl.dropboxusercontent.com/scl/fi/bk33vkteuqnid3dgu3c92/124544t.jpg?rlkey=zu2sjlbao74gqdktzijgrkmn4&amp;dl=0","Click to download Image")</f>
      </c>
      <c r="B716" s="0">
        <f>HYPERLINK("https://dl.dropboxusercontent.com/scl/fi/tih7loprby3oluntnbhdc/womens-t-shirt-size-chartsnova.jpg?rlkey=as0cd89khdyt4hponlpp78lvc&amp;dl=0","Click to download SizeChart")</f>
      </c>
      <c r="C716" s="0" t="inlineStr">
        <is>
          <t>Nova Women's Long Sleeve</t>
        </is>
      </c>
      <c r="D716" s="1">
        <v>124544</v>
      </c>
      <c r="E716" s="0" t="inlineStr">
        <is>
          <t>IOWA NOVA W BK:124544E-2XL</t>
        </is>
      </c>
      <c r="F716" s="2">
        <v>800124544080</v>
      </c>
      <c r="G716" s="0" t="inlineStr">
        <is>
          <t>WOMENS</t>
        </is>
      </c>
      <c r="H716" s="0" t="inlineStr">
        <is>
          <t>2XL</t>
        </is>
      </c>
      <c r="I716" s="0">
        <v>36.99</v>
      </c>
      <c r="J716" s="0">
        <v>2</v>
      </c>
    </row>
    <row r="717" spans="1:10" customHeight="0">
      <c r="A717" s="0">
        <f>HYPERLINK("https://dl.dropboxusercontent.com/scl/fi/bk33vkteuqnid3dgu3c92/124544t.jpg?rlkey=zu2sjlbao74gqdktzijgrkmn4&amp;dl=0","Click to download Image")</f>
      </c>
      <c r="B717" s="0">
        <f>HYPERLINK("https://dl.dropboxusercontent.com/scl/fi/tih7loprby3oluntnbhdc/womens-t-shirt-size-chartsnova.jpg?rlkey=as0cd89khdyt4hponlpp78lvc&amp;dl=0","Click to download SizeChart")</f>
      </c>
      <c r="C717" s="0" t="inlineStr">
        <is>
          <t>Nova Women's Long Sleeve</t>
        </is>
      </c>
      <c r="D717" s="1">
        <v>124544</v>
      </c>
      <c r="E717" s="0" t="inlineStr">
        <is>
          <t>IOWA NOVA W BK:124544F-3XL</t>
        </is>
      </c>
      <c r="F717" s="2">
        <v>800124544097</v>
      </c>
      <c r="G717" s="0" t="inlineStr">
        <is>
          <t>WOMENS</t>
        </is>
      </c>
      <c r="H717" s="0" t="inlineStr">
        <is>
          <t>3XL</t>
        </is>
      </c>
      <c r="I717" s="0">
        <v>36.99</v>
      </c>
      <c r="J717" s="0">
        <v>2</v>
      </c>
    </row>
    <row r="718" spans="1:10" customHeight="0">
      <c r="A718" s="0">
        <f>HYPERLINK("https://dl.dropboxusercontent.com/scl/fi/bk33vkteuqnid3dgu3c92/124544t.jpg?rlkey=zu2sjlbao74gqdktzijgrkmn4&amp;dl=0","Click to download Image")</f>
      </c>
      <c r="B718" s="0">
        <f>HYPERLINK("https://dl.dropboxusercontent.com/scl/fi/tih7loprby3oluntnbhdc/womens-t-shirt-size-chartsnova.jpg?rlkey=as0cd89khdyt4hponlpp78lvc&amp;dl=0","Click to download SizeChart")</f>
      </c>
      <c r="C718" s="0" t="inlineStr">
        <is>
          <t>Nova Women's Long Sleeve</t>
        </is>
      </c>
      <c r="D718" s="1">
        <v>124544</v>
      </c>
      <c r="E718" s="0" t="inlineStr">
        <is>
          <t>IOWA NOVA W BK 12PK:124544Z-12PK</t>
        </is>
      </c>
      <c r="F718" s="2">
        <v>800124544998</v>
      </c>
      <c r="G718" s="0" t="inlineStr">
        <is>
          <t>WOMENS</t>
        </is>
      </c>
      <c r="H718" s="0" t="inlineStr">
        <is>
          <t>12 PACK</t>
        </is>
      </c>
      <c r="I718" s="0">
        <v>336</v>
      </c>
      <c r="J718" s="0">
        <v>0</v>
      </c>
    </row>
    <row r="719" spans="1:10" customHeight="0">
      <c r="A719" s="0">
        <f>HYPERLINK("https://dl.dropboxusercontent.com/scl/fi/af9i4u6unqyak5ft6i1t4/124597t.jpg?rlkey=hvsclq06qz3evkcjffj1t2u8e&amp;dl=0","Click to download Image")</f>
      </c>
      <c r="B719" s="0">
        <f>HYPERLINK("https://dl.dropboxusercontent.com/scl/fi/8sfvnh5xd0eixa8baen9r/womens-hoodie-and-sweatshirt-size-chartsthea.jpg?rlkey=pwvcbprf04cufexuybaxgpf58&amp;dl=0","Click to download SizeChart")</f>
      </c>
      <c r="C719" s="0" t="inlineStr">
        <is>
          <t>Thea Women's Hoodie</t>
        </is>
      </c>
      <c r="D719" s="1">
        <v>124597</v>
      </c>
      <c r="E719" s="0" t="inlineStr">
        <is>
          <t>IOWA THEA W BK:124597A-S</t>
        </is>
      </c>
      <c r="F719" s="2">
        <v>800124597048</v>
      </c>
      <c r="G719" s="0" t="inlineStr">
        <is>
          <t>WOMENS</t>
        </is>
      </c>
      <c r="H719" s="0" t="inlineStr">
        <is>
          <t>S</t>
        </is>
      </c>
      <c r="I719" s="0">
        <v>49.99</v>
      </c>
      <c r="J719" s="0">
        <v>1</v>
      </c>
    </row>
    <row r="720" spans="1:10" customHeight="0">
      <c r="A720" s="0">
        <f>HYPERLINK("https://dl.dropboxusercontent.com/scl/fi/af9i4u6unqyak5ft6i1t4/124597t.jpg?rlkey=hvsclq06qz3evkcjffj1t2u8e&amp;dl=0","Click to download Image")</f>
      </c>
      <c r="B720" s="0">
        <f>HYPERLINK("https://dl.dropboxusercontent.com/scl/fi/8sfvnh5xd0eixa8baen9r/womens-hoodie-and-sweatshirt-size-chartsthea.jpg?rlkey=pwvcbprf04cufexuybaxgpf58&amp;dl=0","Click to download SizeChart")</f>
      </c>
      <c r="C720" s="0" t="inlineStr">
        <is>
          <t>Thea Women's Hoodie</t>
        </is>
      </c>
      <c r="D720" s="1">
        <v>124597</v>
      </c>
      <c r="E720" s="0" t="inlineStr">
        <is>
          <t>IOWA THEA W BK:124597B-M</t>
        </is>
      </c>
      <c r="F720" s="2">
        <v>800124597055</v>
      </c>
      <c r="G720" s="0" t="inlineStr">
        <is>
          <t>WOMENS</t>
        </is>
      </c>
      <c r="H720" s="0" t="inlineStr">
        <is>
          <t>M</t>
        </is>
      </c>
      <c r="I720" s="0">
        <v>49.99</v>
      </c>
      <c r="J720" s="0">
        <v>0</v>
      </c>
    </row>
    <row r="721" spans="1:10" customHeight="0">
      <c r="A721" s="0">
        <f>HYPERLINK("https://dl.dropboxusercontent.com/scl/fi/af9i4u6unqyak5ft6i1t4/124597t.jpg?rlkey=hvsclq06qz3evkcjffj1t2u8e&amp;dl=0","Click to download Image")</f>
      </c>
      <c r="B721" s="0">
        <f>HYPERLINK("https://dl.dropboxusercontent.com/scl/fi/8sfvnh5xd0eixa8baen9r/womens-hoodie-and-sweatshirt-size-chartsthea.jpg?rlkey=pwvcbprf04cufexuybaxgpf58&amp;dl=0","Click to download SizeChart")</f>
      </c>
      <c r="C721" s="0" t="inlineStr">
        <is>
          <t>Thea Women's Hoodie</t>
        </is>
      </c>
      <c r="D721" s="1">
        <v>124597</v>
      </c>
      <c r="E721" s="0" t="inlineStr">
        <is>
          <t>IOWA THEA W BK:124597C-L</t>
        </is>
      </c>
      <c r="F721" s="2">
        <v>800124597062</v>
      </c>
      <c r="G721" s="0" t="inlineStr">
        <is>
          <t>WOMENS</t>
        </is>
      </c>
      <c r="H721" s="0" t="inlineStr">
        <is>
          <t>L</t>
        </is>
      </c>
      <c r="I721" s="0">
        <v>49.99</v>
      </c>
      <c r="J721" s="0">
        <v>0</v>
      </c>
    </row>
    <row r="722" spans="1:10" customHeight="0">
      <c r="A722" s="0">
        <f>HYPERLINK("https://dl.dropboxusercontent.com/scl/fi/af9i4u6unqyak5ft6i1t4/124597t.jpg?rlkey=hvsclq06qz3evkcjffj1t2u8e&amp;dl=0","Click to download Image")</f>
      </c>
      <c r="B722" s="0">
        <f>HYPERLINK("https://dl.dropboxusercontent.com/scl/fi/8sfvnh5xd0eixa8baen9r/womens-hoodie-and-sweatshirt-size-chartsthea.jpg?rlkey=pwvcbprf04cufexuybaxgpf58&amp;dl=0","Click to download SizeChart")</f>
      </c>
      <c r="C722" s="0" t="inlineStr">
        <is>
          <t>Thea Women's Hoodie</t>
        </is>
      </c>
      <c r="D722" s="1">
        <v>124597</v>
      </c>
      <c r="E722" s="0" t="inlineStr">
        <is>
          <t>IOWA THEA W BK:124597D-XL</t>
        </is>
      </c>
      <c r="F722" s="2">
        <v>800124597079</v>
      </c>
      <c r="G722" s="0" t="inlineStr">
        <is>
          <t>WOMENS</t>
        </is>
      </c>
      <c r="H722" s="0" t="inlineStr">
        <is>
          <t>XL</t>
        </is>
      </c>
      <c r="I722" s="0">
        <v>49.99</v>
      </c>
      <c r="J722" s="0">
        <v>0</v>
      </c>
    </row>
    <row r="723" spans="1:10" customHeight="0">
      <c r="A723" s="0">
        <f>HYPERLINK("https://dl.dropboxusercontent.com/scl/fi/af9i4u6unqyak5ft6i1t4/124597t.jpg?rlkey=hvsclq06qz3evkcjffj1t2u8e&amp;dl=0","Click to download Image")</f>
      </c>
      <c r="B723" s="0">
        <f>HYPERLINK("https://dl.dropboxusercontent.com/scl/fi/8sfvnh5xd0eixa8baen9r/womens-hoodie-and-sweatshirt-size-chartsthea.jpg?rlkey=pwvcbprf04cufexuybaxgpf58&amp;dl=0","Click to download SizeChart")</f>
      </c>
      <c r="C723" s="0" t="inlineStr">
        <is>
          <t>Thea Women's Hoodie</t>
        </is>
      </c>
      <c r="D723" s="1">
        <v>124597</v>
      </c>
      <c r="E723" s="0" t="inlineStr">
        <is>
          <t>IOWA THEA W BK:124597E-2XL</t>
        </is>
      </c>
      <c r="F723" s="2">
        <v>800124597086</v>
      </c>
      <c r="G723" s="0" t="inlineStr">
        <is>
          <t>WOMENS</t>
        </is>
      </c>
      <c r="H723" s="0" t="inlineStr">
        <is>
          <t>2XL</t>
        </is>
      </c>
      <c r="I723" s="0">
        <v>49.99</v>
      </c>
      <c r="J723" s="0">
        <v>0</v>
      </c>
    </row>
    <row r="724" spans="1:10" customHeight="0">
      <c r="A724" s="0">
        <f>HYPERLINK("https://dl.dropboxusercontent.com/scl/fi/af9i4u6unqyak5ft6i1t4/124597t.jpg?rlkey=hvsclq06qz3evkcjffj1t2u8e&amp;dl=0","Click to download Image")</f>
      </c>
      <c r="B724" s="0">
        <f>HYPERLINK("https://dl.dropboxusercontent.com/scl/fi/8sfvnh5xd0eixa8baen9r/womens-hoodie-and-sweatshirt-size-chartsthea.jpg?rlkey=pwvcbprf04cufexuybaxgpf58&amp;dl=0","Click to download SizeChart")</f>
      </c>
      <c r="C724" s="0" t="inlineStr">
        <is>
          <t>Thea Women's Hoodie</t>
        </is>
      </c>
      <c r="D724" s="1">
        <v>124597</v>
      </c>
      <c r="E724" s="0" t="inlineStr">
        <is>
          <t>IOWA THEA W BK:124597F-3XL</t>
        </is>
      </c>
      <c r="F724" s="2">
        <v>800124597093</v>
      </c>
      <c r="G724" s="0" t="inlineStr">
        <is>
          <t>WOMENS</t>
        </is>
      </c>
      <c r="H724" s="0" t="inlineStr">
        <is>
          <t>3XL</t>
        </is>
      </c>
      <c r="I724" s="0">
        <v>49.99</v>
      </c>
      <c r="J724" s="0">
        <v>0</v>
      </c>
    </row>
    <row r="725" spans="1:10" customHeight="0">
      <c r="A725" s="0">
        <f>HYPERLINK("https://dl.dropboxusercontent.com/scl/fi/af9i4u6unqyak5ft6i1t4/124597t.jpg?rlkey=hvsclq06qz3evkcjffj1t2u8e&amp;dl=0","Click to download Image")</f>
      </c>
      <c r="B725" s="0">
        <f>HYPERLINK("https://dl.dropboxusercontent.com/scl/fi/8sfvnh5xd0eixa8baen9r/womens-hoodie-and-sweatshirt-size-chartsthea.jpg?rlkey=pwvcbprf04cufexuybaxgpf58&amp;dl=0","Click to download SizeChart")</f>
      </c>
      <c r="C725" s="0" t="inlineStr">
        <is>
          <t>Thea Women's Hoodie</t>
        </is>
      </c>
      <c r="D725" s="1">
        <v>124597</v>
      </c>
      <c r="E725" s="0" t="inlineStr">
        <is>
          <t>IOWA THEA W BK 12PK:124597Z-12PK</t>
        </is>
      </c>
      <c r="F725" s="2">
        <v>800124597994</v>
      </c>
      <c r="G725" s="0" t="inlineStr">
        <is>
          <t>WOMENS</t>
        </is>
      </c>
      <c r="H725" s="0" t="inlineStr">
        <is>
          <t>12 PACK</t>
        </is>
      </c>
      <c r="I725" s="0">
        <v>480</v>
      </c>
      <c r="J725" s="0">
        <v>0</v>
      </c>
    </row>
    <row r="726" spans="1:10" customHeight="0">
      <c r="A726" s="0">
        <f>HYPERLINK("https://dl.dropboxusercontent.com/scl/fi/8es7yt12610r4b6063a6j/amiat.jpg?rlkey=638w9oo4ujq2gbalb1g41cret&amp;dl=0","Click to download Image")</f>
      </c>
      <c r="B726" s="0">
        <f>HYPERLINK("https://dl.dropboxusercontent.com/scl/fi/x9crrec3ana1z697lappq/womens-t-shirt-size-chartsamia.jpg?rlkey=p2v6okw9yr9jguo6s6rordpu1&amp;dl=0","Click to download SizeChart")</f>
      </c>
      <c r="C726" s="0" t="inlineStr">
        <is>
          <t>Amia Women's Crop T-shirt</t>
        </is>
      </c>
      <c r="D726" s="1">
        <v>125379</v>
      </c>
      <c r="E726" s="0" t="inlineStr">
        <is>
          <t>IOWA AMIA W WE:125379A-S</t>
        </is>
      </c>
      <c r="F726" s="2">
        <v>800125379049</v>
      </c>
      <c r="G726" s="0" t="inlineStr">
        <is>
          <t>WOMENS</t>
        </is>
      </c>
      <c r="H726" s="0" t="inlineStr">
        <is>
          <t>S</t>
        </is>
      </c>
      <c r="I726" s="0">
        <v>29.99</v>
      </c>
      <c r="J726" s="0">
        <v>0</v>
      </c>
    </row>
    <row r="727" spans="1:10" customHeight="0">
      <c r="A727" s="0">
        <f>HYPERLINK("https://dl.dropboxusercontent.com/scl/fi/8es7yt12610r4b6063a6j/amiat.jpg?rlkey=638w9oo4ujq2gbalb1g41cret&amp;dl=0","Click to download Image")</f>
      </c>
      <c r="B727" s="0">
        <f>HYPERLINK("https://dl.dropboxusercontent.com/scl/fi/x9crrec3ana1z697lappq/womens-t-shirt-size-chartsamia.jpg?rlkey=p2v6okw9yr9jguo6s6rordpu1&amp;dl=0","Click to download SizeChart")</f>
      </c>
      <c r="C727" s="0" t="inlineStr">
        <is>
          <t>Amia Women's Crop T-shirt</t>
        </is>
      </c>
      <c r="D727" s="1">
        <v>125379</v>
      </c>
      <c r="E727" s="0" t="inlineStr">
        <is>
          <t>IOWA AMIA W WE:125379B-M</t>
        </is>
      </c>
      <c r="F727" s="2">
        <v>800125379056</v>
      </c>
      <c r="G727" s="0" t="inlineStr">
        <is>
          <t>WOMENS</t>
        </is>
      </c>
      <c r="H727" s="0" t="inlineStr">
        <is>
          <t>M</t>
        </is>
      </c>
      <c r="I727" s="0">
        <v>29.99</v>
      </c>
      <c r="J727" s="0">
        <v>0</v>
      </c>
    </row>
    <row r="728" spans="1:10" customHeight="0">
      <c r="A728" s="0">
        <f>HYPERLINK("https://dl.dropboxusercontent.com/scl/fi/8es7yt12610r4b6063a6j/amiat.jpg?rlkey=638w9oo4ujq2gbalb1g41cret&amp;dl=0","Click to download Image")</f>
      </c>
      <c r="B728" s="0">
        <f>HYPERLINK("https://dl.dropboxusercontent.com/scl/fi/x9crrec3ana1z697lappq/womens-t-shirt-size-chartsamia.jpg?rlkey=p2v6okw9yr9jguo6s6rordpu1&amp;dl=0","Click to download SizeChart")</f>
      </c>
      <c r="C728" s="0" t="inlineStr">
        <is>
          <t>Amia Women's Crop T-shirt</t>
        </is>
      </c>
      <c r="D728" s="1">
        <v>125379</v>
      </c>
      <c r="E728" s="0" t="inlineStr">
        <is>
          <t>IOWA AMIA W WE:125379C-L</t>
        </is>
      </c>
      <c r="F728" s="2">
        <v>800125379063</v>
      </c>
      <c r="G728" s="0" t="inlineStr">
        <is>
          <t>WOMENS</t>
        </is>
      </c>
      <c r="H728" s="0" t="inlineStr">
        <is>
          <t>L</t>
        </is>
      </c>
      <c r="I728" s="0">
        <v>29.99</v>
      </c>
      <c r="J728" s="0">
        <v>0</v>
      </c>
    </row>
    <row r="729" spans="1:10" customHeight="0">
      <c r="A729" s="0">
        <f>HYPERLINK("https://dl.dropboxusercontent.com/scl/fi/8es7yt12610r4b6063a6j/amiat.jpg?rlkey=638w9oo4ujq2gbalb1g41cret&amp;dl=0","Click to download Image")</f>
      </c>
      <c r="B729" s="0">
        <f>HYPERLINK("https://dl.dropboxusercontent.com/scl/fi/x9crrec3ana1z697lappq/womens-t-shirt-size-chartsamia.jpg?rlkey=p2v6okw9yr9jguo6s6rordpu1&amp;dl=0","Click to download SizeChart")</f>
      </c>
      <c r="C729" s="0" t="inlineStr">
        <is>
          <t>Amia Women's Crop T-shirt</t>
        </is>
      </c>
      <c r="D729" s="1">
        <v>125379</v>
      </c>
      <c r="E729" s="0" t="inlineStr">
        <is>
          <t>IOWA AMIA W WE:125379D-XL</t>
        </is>
      </c>
      <c r="F729" s="2">
        <v>800125379070</v>
      </c>
      <c r="G729" s="0" t="inlineStr">
        <is>
          <t>WOMENS</t>
        </is>
      </c>
      <c r="H729" s="0" t="inlineStr">
        <is>
          <t>XL</t>
        </is>
      </c>
      <c r="I729" s="0">
        <v>29.99</v>
      </c>
      <c r="J729" s="0">
        <v>0</v>
      </c>
    </row>
    <row r="730" spans="1:10" customHeight="0">
      <c r="A730" s="0">
        <f>HYPERLINK("https://dl.dropboxusercontent.com/scl/fi/8es7yt12610r4b6063a6j/amiat.jpg?rlkey=638w9oo4ujq2gbalb1g41cret&amp;dl=0","Click to download Image")</f>
      </c>
      <c r="B730" s="0">
        <f>HYPERLINK("https://dl.dropboxusercontent.com/scl/fi/x9crrec3ana1z697lappq/womens-t-shirt-size-chartsamia.jpg?rlkey=p2v6okw9yr9jguo6s6rordpu1&amp;dl=0","Click to download SizeChart")</f>
      </c>
      <c r="C730" s="0" t="inlineStr">
        <is>
          <t>Amia Women's Crop T-shirt</t>
        </is>
      </c>
      <c r="D730" s="1">
        <v>125379</v>
      </c>
      <c r="E730" s="0" t="inlineStr">
        <is>
          <t>IOWA AMIA W WE:125379E-2XL</t>
        </is>
      </c>
      <c r="F730" s="2">
        <v>800125379087</v>
      </c>
      <c r="G730" s="0" t="inlineStr">
        <is>
          <t>WOMENS</t>
        </is>
      </c>
      <c r="H730" s="0" t="inlineStr">
        <is>
          <t>2XL</t>
        </is>
      </c>
      <c r="I730" s="0">
        <v>29.99</v>
      </c>
      <c r="J730" s="0">
        <v>6</v>
      </c>
    </row>
    <row r="731" spans="1:10" customHeight="0">
      <c r="A731" s="0">
        <f>HYPERLINK("https://dl.dropboxusercontent.com/scl/fi/8es7yt12610r4b6063a6j/amiat.jpg?rlkey=638w9oo4ujq2gbalb1g41cret&amp;dl=0","Click to download Image")</f>
      </c>
      <c r="B731" s="0">
        <f>HYPERLINK("https://dl.dropboxusercontent.com/scl/fi/x9crrec3ana1z697lappq/womens-t-shirt-size-chartsamia.jpg?rlkey=p2v6okw9yr9jguo6s6rordpu1&amp;dl=0","Click to download SizeChart")</f>
      </c>
      <c r="C731" s="0" t="inlineStr">
        <is>
          <t>Amia Women's Crop T-shirt</t>
        </is>
      </c>
      <c r="D731" s="1">
        <v>125379</v>
      </c>
      <c r="E731" s="0" t="inlineStr">
        <is>
          <t>IOWA AMIA W WE:125379F-3XL</t>
        </is>
      </c>
      <c r="F731" s="2">
        <v>800125379094</v>
      </c>
      <c r="G731" s="0" t="inlineStr">
        <is>
          <t>WOMENS</t>
        </is>
      </c>
      <c r="H731" s="0" t="inlineStr">
        <is>
          <t>3XL</t>
        </is>
      </c>
      <c r="I731" s="0">
        <v>29.99</v>
      </c>
      <c r="J731" s="0">
        <v>5</v>
      </c>
    </row>
    <row r="732" spans="1:10" customHeight="0">
      <c r="A732" s="0">
        <f>HYPERLINK("https://dl.dropboxusercontent.com/scl/fi/8es7yt12610r4b6063a6j/amiat.jpg?rlkey=638w9oo4ujq2gbalb1g41cret&amp;dl=0","Click to download Image")</f>
      </c>
      <c r="B732" s="0">
        <f>HYPERLINK("https://dl.dropboxusercontent.com/scl/fi/x9crrec3ana1z697lappq/womens-t-shirt-size-chartsamia.jpg?rlkey=p2v6okw9yr9jguo6s6rordpu1&amp;dl=0","Click to download SizeChart")</f>
      </c>
      <c r="C732" s="0" t="inlineStr">
        <is>
          <t>Amia Women's Crop T-shirt</t>
        </is>
      </c>
      <c r="D732" s="1">
        <v>125379</v>
      </c>
      <c r="E732" s="0" t="inlineStr">
        <is>
          <t>IOWA AMIA W WE 12PK:125379Z-12PK</t>
        </is>
      </c>
      <c r="F732" s="2">
        <v>800125379995</v>
      </c>
      <c r="G732" s="0" t="inlineStr">
        <is>
          <t>WOMENS</t>
        </is>
      </c>
      <c r="H732" s="0" t="inlineStr">
        <is>
          <t>12 PACK</t>
        </is>
      </c>
      <c r="I732" s="0">
        <v>288</v>
      </c>
      <c r="J732" s="0">
        <v>0</v>
      </c>
    </row>
    <row r="733" spans="1:10" customHeight="0">
      <c r="A733" s="0">
        <f>HYPERLINK("https://dl.dropboxusercontent.com/scl/fi/666w0jqsejkvwjsg61iip/123511t.jpg?rlkey=2n6xm3qz431lydeyg07c4ggl4&amp;dl=0","Click to download Image")</f>
      </c>
      <c r="B733" s="0">
        <f>HYPERLINK("https://dl.dropboxusercontent.com/scl/fi/t008e0svb5elo1dj7woih/womens-hoodie-and-sweatshirt-size-chartssoho.jpg?rlkey=ddr5k7p5yxwh5dr37a49xug4x&amp;dl=0","Click to download SizeChart")</f>
      </c>
      <c r="C733" s="0" t="inlineStr">
        <is>
          <t>Soho Women's Hoodie</t>
        </is>
      </c>
      <c r="D733" s="1">
        <v>123511</v>
      </c>
      <c r="E733" s="0" t="inlineStr">
        <is>
          <t>IOWA SOHO W BK:123511A-S</t>
        </is>
      </c>
      <c r="F733" s="2">
        <v>800123511045</v>
      </c>
      <c r="G733" s="0" t="inlineStr">
        <is>
          <t>WOMENS</t>
        </is>
      </c>
      <c r="H733" s="0" t="inlineStr">
        <is>
          <t>S</t>
        </is>
      </c>
      <c r="I733" s="0">
        <v>59.99</v>
      </c>
      <c r="J733" s="0">
        <v>1</v>
      </c>
    </row>
    <row r="734" spans="1:10" customHeight="0">
      <c r="A734" s="0">
        <f>HYPERLINK("https://dl.dropboxusercontent.com/scl/fi/666w0jqsejkvwjsg61iip/123511t.jpg?rlkey=2n6xm3qz431lydeyg07c4ggl4&amp;dl=0","Click to download Image")</f>
      </c>
      <c r="B734" s="0">
        <f>HYPERLINK("https://dl.dropboxusercontent.com/scl/fi/t008e0svb5elo1dj7woih/womens-hoodie-and-sweatshirt-size-chartssoho.jpg?rlkey=ddr5k7p5yxwh5dr37a49xug4x&amp;dl=0","Click to download SizeChart")</f>
      </c>
      <c r="C734" s="0" t="inlineStr">
        <is>
          <t>Soho Women's Hoodie</t>
        </is>
      </c>
      <c r="D734" s="1">
        <v>123511</v>
      </c>
      <c r="E734" s="0" t="inlineStr">
        <is>
          <t>IOWA SOHO W BK:123511B-M</t>
        </is>
      </c>
      <c r="F734" s="2">
        <v>800123511052</v>
      </c>
      <c r="G734" s="0" t="inlineStr">
        <is>
          <t>WOMENS</t>
        </is>
      </c>
      <c r="H734" s="0" t="inlineStr">
        <is>
          <t>M</t>
        </is>
      </c>
      <c r="I734" s="0">
        <v>59.99</v>
      </c>
      <c r="J734" s="0">
        <v>0</v>
      </c>
    </row>
    <row r="735" spans="1:10" customHeight="0">
      <c r="A735" s="0">
        <f>HYPERLINK("https://dl.dropboxusercontent.com/scl/fi/666w0jqsejkvwjsg61iip/123511t.jpg?rlkey=2n6xm3qz431lydeyg07c4ggl4&amp;dl=0","Click to download Image")</f>
      </c>
      <c r="B735" s="0">
        <f>HYPERLINK("https://dl.dropboxusercontent.com/scl/fi/t008e0svb5elo1dj7woih/womens-hoodie-and-sweatshirt-size-chartssoho.jpg?rlkey=ddr5k7p5yxwh5dr37a49xug4x&amp;dl=0","Click to download SizeChart")</f>
      </c>
      <c r="C735" s="0" t="inlineStr">
        <is>
          <t>Soho Women's Hoodie</t>
        </is>
      </c>
      <c r="D735" s="1">
        <v>123511</v>
      </c>
      <c r="E735" s="0" t="inlineStr">
        <is>
          <t>IOWA SOHO W BK:123511C-L</t>
        </is>
      </c>
      <c r="F735" s="2">
        <v>800123511069</v>
      </c>
      <c r="G735" s="0" t="inlineStr">
        <is>
          <t>WOMENS</t>
        </is>
      </c>
      <c r="H735" s="0" t="inlineStr">
        <is>
          <t>L</t>
        </is>
      </c>
      <c r="I735" s="0">
        <v>59.99</v>
      </c>
      <c r="J735" s="0">
        <v>0</v>
      </c>
    </row>
    <row r="736" spans="1:10" customHeight="0">
      <c r="A736" s="0">
        <f>HYPERLINK("https://dl.dropboxusercontent.com/scl/fi/666w0jqsejkvwjsg61iip/123511t.jpg?rlkey=2n6xm3qz431lydeyg07c4ggl4&amp;dl=0","Click to download Image")</f>
      </c>
      <c r="B736" s="0">
        <f>HYPERLINK("https://dl.dropboxusercontent.com/scl/fi/t008e0svb5elo1dj7woih/womens-hoodie-and-sweatshirt-size-chartssoho.jpg?rlkey=ddr5k7p5yxwh5dr37a49xug4x&amp;dl=0","Click to download SizeChart")</f>
      </c>
      <c r="C736" s="0" t="inlineStr">
        <is>
          <t>Soho Women's Hoodie</t>
        </is>
      </c>
      <c r="D736" s="1">
        <v>123511</v>
      </c>
      <c r="E736" s="0" t="inlineStr">
        <is>
          <t>IOWA SOHO W BK:123511D-XL</t>
        </is>
      </c>
      <c r="F736" s="2">
        <v>800123511076</v>
      </c>
      <c r="G736" s="0" t="inlineStr">
        <is>
          <t>WOMENS</t>
        </is>
      </c>
      <c r="H736" s="0" t="inlineStr">
        <is>
          <t>XL</t>
        </is>
      </c>
      <c r="I736" s="0">
        <v>59.99</v>
      </c>
      <c r="J736" s="0">
        <v>0</v>
      </c>
    </row>
    <row r="737" spans="1:10" customHeight="0">
      <c r="A737" s="0">
        <f>HYPERLINK("https://dl.dropboxusercontent.com/scl/fi/666w0jqsejkvwjsg61iip/123511t.jpg?rlkey=2n6xm3qz431lydeyg07c4ggl4&amp;dl=0","Click to download Image")</f>
      </c>
      <c r="B737" s="0">
        <f>HYPERLINK("https://dl.dropboxusercontent.com/scl/fi/t008e0svb5elo1dj7woih/womens-hoodie-and-sweatshirt-size-chartssoho.jpg?rlkey=ddr5k7p5yxwh5dr37a49xug4x&amp;dl=0","Click to download SizeChart")</f>
      </c>
      <c r="C737" s="0" t="inlineStr">
        <is>
          <t>Soho Women's Hoodie</t>
        </is>
      </c>
      <c r="D737" s="1">
        <v>123511</v>
      </c>
      <c r="E737" s="0" t="inlineStr">
        <is>
          <t>IOWA SOHO W BK:123511E-2XL</t>
        </is>
      </c>
      <c r="F737" s="2">
        <v>800123511083</v>
      </c>
      <c r="G737" s="0" t="inlineStr">
        <is>
          <t>WOMENS</t>
        </is>
      </c>
      <c r="H737" s="0" t="inlineStr">
        <is>
          <t>2XL</t>
        </is>
      </c>
      <c r="I737" s="0">
        <v>59.99</v>
      </c>
      <c r="J737" s="0">
        <v>0</v>
      </c>
    </row>
    <row r="738" spans="1:10" customHeight="0">
      <c r="A738" s="0">
        <f>HYPERLINK("https://dl.dropboxusercontent.com/scl/fi/666w0jqsejkvwjsg61iip/123511t.jpg?rlkey=2n6xm3qz431lydeyg07c4ggl4&amp;dl=0","Click to download Image")</f>
      </c>
      <c r="B738" s="0">
        <f>HYPERLINK("https://dl.dropboxusercontent.com/scl/fi/t008e0svb5elo1dj7woih/womens-hoodie-and-sweatshirt-size-chartssoho.jpg?rlkey=ddr5k7p5yxwh5dr37a49xug4x&amp;dl=0","Click to download SizeChart")</f>
      </c>
      <c r="C738" s="0" t="inlineStr">
        <is>
          <t>Soho Women's Hoodie</t>
        </is>
      </c>
      <c r="D738" s="1">
        <v>123511</v>
      </c>
      <c r="E738" s="0" t="inlineStr">
        <is>
          <t>IOWA SOHO W BK:123511F-3XL</t>
        </is>
      </c>
      <c r="F738" s="2">
        <v>800123511090</v>
      </c>
      <c r="G738" s="0" t="inlineStr">
        <is>
          <t>WOMENS</t>
        </is>
      </c>
      <c r="H738" s="0" t="inlineStr">
        <is>
          <t>3XL</t>
        </is>
      </c>
      <c r="I738" s="0">
        <v>59.99</v>
      </c>
      <c r="J738" s="0">
        <v>0</v>
      </c>
    </row>
    <row r="739" spans="1:10" customHeight="0">
      <c r="A739" s="0">
        <f>HYPERLINK("https://dl.dropboxusercontent.com/scl/fi/666w0jqsejkvwjsg61iip/123511t.jpg?rlkey=2n6xm3qz431lydeyg07c4ggl4&amp;dl=0","Click to download Image")</f>
      </c>
      <c r="B739" s="0">
        <f>HYPERLINK("https://dl.dropboxusercontent.com/scl/fi/t008e0svb5elo1dj7woih/womens-hoodie-and-sweatshirt-size-chartssoho.jpg?rlkey=ddr5k7p5yxwh5dr37a49xug4x&amp;dl=0","Click to download SizeChart")</f>
      </c>
      <c r="C739" s="0" t="inlineStr">
        <is>
          <t>Soho Women's Hoodie</t>
        </is>
      </c>
      <c r="D739" s="1">
        <v>123511</v>
      </c>
      <c r="E739" s="0" t="inlineStr">
        <is>
          <t>IOWA SOHO W BK 12PK:123511Z-12PK</t>
        </is>
      </c>
      <c r="F739" s="2">
        <v>800123511991</v>
      </c>
      <c r="G739" s="0" t="inlineStr">
        <is>
          <t>WOMENS</t>
        </is>
      </c>
      <c r="H739" s="0" t="inlineStr">
        <is>
          <t>12 PACK</t>
        </is>
      </c>
      <c r="I739" s="0">
        <v>576</v>
      </c>
      <c r="J739" s="0">
        <v>0</v>
      </c>
    </row>
    <row r="740" spans="1:10" customHeight="0">
      <c r="A740" s="0">
        <f>HYPERLINK("https://dl.dropboxusercontent.com/scl/fi/o82l7yx6a0uagb82wqf70/livt.jpg?rlkey=r5y6frc9w6wmy4muyvv3uubxw&amp;dl=0","Click to download Image")</f>
      </c>
      <c r="B740" s="0">
        <f>HYPERLINK("https://dl.dropboxusercontent.com/scl/fi/fdcktxwtph6dam6w7pcnk/womens-hoodie-and-sweatshirt-size-chartsliv-hoodie.jpg?rlkey=yqsdf59343zn0t5psoo8wsy3r&amp;dl=0","Click to download SizeChart")</f>
      </c>
      <c r="C740" s="0" t="inlineStr">
        <is>
          <t>Liv Women's Hoodie</t>
        </is>
      </c>
      <c r="D740" s="1">
        <v>123037</v>
      </c>
      <c r="E740" s="0" t="inlineStr">
        <is>
          <t>IOWA LIV W CO:123037A-S</t>
        </is>
      </c>
      <c r="F740" s="2">
        <v>800123037040</v>
      </c>
      <c r="G740" s="0" t="inlineStr">
        <is>
          <t>WOMENS</t>
        </is>
      </c>
      <c r="H740" s="0" t="inlineStr">
        <is>
          <t>S</t>
        </is>
      </c>
      <c r="I740" s="0">
        <v>54.99</v>
      </c>
      <c r="J740" s="0">
        <v>10</v>
      </c>
    </row>
    <row r="741" spans="1:10" customHeight="0">
      <c r="A741" s="0">
        <f>HYPERLINK("https://dl.dropboxusercontent.com/scl/fi/o82l7yx6a0uagb82wqf70/livt.jpg?rlkey=r5y6frc9w6wmy4muyvv3uubxw&amp;dl=0","Click to download Image")</f>
      </c>
      <c r="B741" s="0">
        <f>HYPERLINK("https://dl.dropboxusercontent.com/scl/fi/fdcktxwtph6dam6w7pcnk/womens-hoodie-and-sweatshirt-size-chartsliv-hoodie.jpg?rlkey=yqsdf59343zn0t5psoo8wsy3r&amp;dl=0","Click to download SizeChart")</f>
      </c>
      <c r="C741" s="0" t="inlineStr">
        <is>
          <t>Liv Women's Hoodie</t>
        </is>
      </c>
      <c r="D741" s="1">
        <v>123037</v>
      </c>
      <c r="E741" s="0" t="inlineStr">
        <is>
          <t>IOWA LIV W CO:123037B-M</t>
        </is>
      </c>
      <c r="F741" s="2">
        <v>800123037057</v>
      </c>
      <c r="G741" s="0" t="inlineStr">
        <is>
          <t>WOMENS</t>
        </is>
      </c>
      <c r="H741" s="0" t="inlineStr">
        <is>
          <t>M</t>
        </is>
      </c>
      <c r="I741" s="0">
        <v>54.99</v>
      </c>
      <c r="J741" s="0">
        <v>13</v>
      </c>
    </row>
    <row r="742" spans="1:10" customHeight="0">
      <c r="A742" s="0">
        <f>HYPERLINK("https://dl.dropboxusercontent.com/scl/fi/o82l7yx6a0uagb82wqf70/livt.jpg?rlkey=r5y6frc9w6wmy4muyvv3uubxw&amp;dl=0","Click to download Image")</f>
      </c>
      <c r="B742" s="0">
        <f>HYPERLINK("https://dl.dropboxusercontent.com/scl/fi/fdcktxwtph6dam6w7pcnk/womens-hoodie-and-sweatshirt-size-chartsliv-hoodie.jpg?rlkey=yqsdf59343zn0t5psoo8wsy3r&amp;dl=0","Click to download SizeChart")</f>
      </c>
      <c r="C742" s="0" t="inlineStr">
        <is>
          <t>Liv Women's Hoodie</t>
        </is>
      </c>
      <c r="D742" s="1">
        <v>123037</v>
      </c>
      <c r="E742" s="0" t="inlineStr">
        <is>
          <t>IOWA LIV W CO:123037C-L</t>
        </is>
      </c>
      <c r="F742" s="2">
        <v>800123037064</v>
      </c>
      <c r="G742" s="0" t="inlineStr">
        <is>
          <t>WOMENS</t>
        </is>
      </c>
      <c r="H742" s="0" t="inlineStr">
        <is>
          <t>L</t>
        </is>
      </c>
      <c r="I742" s="0">
        <v>54.99</v>
      </c>
      <c r="J742" s="0">
        <v>14</v>
      </c>
    </row>
    <row r="743" spans="1:10" customHeight="0">
      <c r="A743" s="0">
        <f>HYPERLINK("https://dl.dropboxusercontent.com/scl/fi/o82l7yx6a0uagb82wqf70/livt.jpg?rlkey=r5y6frc9w6wmy4muyvv3uubxw&amp;dl=0","Click to download Image")</f>
      </c>
      <c r="B743" s="0">
        <f>HYPERLINK("https://dl.dropboxusercontent.com/scl/fi/fdcktxwtph6dam6w7pcnk/womens-hoodie-and-sweatshirt-size-chartsliv-hoodie.jpg?rlkey=yqsdf59343zn0t5psoo8wsy3r&amp;dl=0","Click to download SizeChart")</f>
      </c>
      <c r="C743" s="0" t="inlineStr">
        <is>
          <t>Liv Women's Hoodie</t>
        </is>
      </c>
      <c r="D743" s="1">
        <v>123037</v>
      </c>
      <c r="E743" s="0" t="inlineStr">
        <is>
          <t>IOWA LIV W CO:123037D-XL</t>
        </is>
      </c>
      <c r="F743" s="2">
        <v>800123037071</v>
      </c>
      <c r="G743" s="0" t="inlineStr">
        <is>
          <t>WOMENS</t>
        </is>
      </c>
      <c r="H743" s="0" t="inlineStr">
        <is>
          <t>XL</t>
        </is>
      </c>
      <c r="I743" s="0">
        <v>54.99</v>
      </c>
      <c r="J743" s="0">
        <v>0</v>
      </c>
    </row>
    <row r="744" spans="1:10" customHeight="0">
      <c r="A744" s="0">
        <f>HYPERLINK("https://dl.dropboxusercontent.com/scl/fi/o82l7yx6a0uagb82wqf70/livt.jpg?rlkey=r5y6frc9w6wmy4muyvv3uubxw&amp;dl=0","Click to download Image")</f>
      </c>
      <c r="B744" s="0">
        <f>HYPERLINK("https://dl.dropboxusercontent.com/scl/fi/fdcktxwtph6dam6w7pcnk/womens-hoodie-and-sweatshirt-size-chartsliv-hoodie.jpg?rlkey=yqsdf59343zn0t5psoo8wsy3r&amp;dl=0","Click to download SizeChart")</f>
      </c>
      <c r="C744" s="0" t="inlineStr">
        <is>
          <t>Liv Women's Hoodie</t>
        </is>
      </c>
      <c r="D744" s="1">
        <v>123037</v>
      </c>
      <c r="E744" s="0" t="inlineStr">
        <is>
          <t>IOWA LIV W CO:123037E-2XL</t>
        </is>
      </c>
      <c r="F744" s="2">
        <v>800123037088</v>
      </c>
      <c r="G744" s="0" t="inlineStr">
        <is>
          <t>WOMENS</t>
        </is>
      </c>
      <c r="H744" s="0" t="inlineStr">
        <is>
          <t>2XL</t>
        </is>
      </c>
      <c r="I744" s="0">
        <v>54.99</v>
      </c>
      <c r="J744" s="0">
        <v>5</v>
      </c>
    </row>
    <row r="745" spans="1:10" customHeight="0">
      <c r="A745" s="0">
        <f>HYPERLINK("https://dl.dropboxusercontent.com/scl/fi/o82l7yx6a0uagb82wqf70/livt.jpg?rlkey=r5y6frc9w6wmy4muyvv3uubxw&amp;dl=0","Click to download Image")</f>
      </c>
      <c r="B745" s="0">
        <f>HYPERLINK("https://dl.dropboxusercontent.com/scl/fi/fdcktxwtph6dam6w7pcnk/womens-hoodie-and-sweatshirt-size-chartsliv-hoodie.jpg?rlkey=yqsdf59343zn0t5psoo8wsy3r&amp;dl=0","Click to download SizeChart")</f>
      </c>
      <c r="C745" s="0" t="inlineStr">
        <is>
          <t>Liv Women's Hoodie</t>
        </is>
      </c>
      <c r="D745" s="1">
        <v>123037</v>
      </c>
      <c r="E745" s="0" t="inlineStr">
        <is>
          <t>IOWA LIV W CO:123037F-3XL</t>
        </is>
      </c>
      <c r="F745" s="2">
        <v>800123037095</v>
      </c>
      <c r="G745" s="0" t="inlineStr">
        <is>
          <t>WOMENS</t>
        </is>
      </c>
      <c r="H745" s="0" t="inlineStr">
        <is>
          <t>3XL</t>
        </is>
      </c>
      <c r="I745" s="0">
        <v>54.99</v>
      </c>
      <c r="J745" s="0">
        <v>5</v>
      </c>
    </row>
    <row r="746" spans="1:10" customHeight="0">
      <c r="A746" s="0">
        <f>HYPERLINK("https://dl.dropboxusercontent.com/scl/fi/o82l7yx6a0uagb82wqf70/livt.jpg?rlkey=r5y6frc9w6wmy4muyvv3uubxw&amp;dl=0","Click to download Image")</f>
      </c>
      <c r="B746" s="0">
        <f>HYPERLINK("https://dl.dropboxusercontent.com/scl/fi/fdcktxwtph6dam6w7pcnk/womens-hoodie-and-sweatshirt-size-chartsliv-hoodie.jpg?rlkey=yqsdf59343zn0t5psoo8wsy3r&amp;dl=0","Click to download SizeChart")</f>
      </c>
      <c r="C746" s="0" t="inlineStr">
        <is>
          <t>Liv Women's Hoodie</t>
        </is>
      </c>
      <c r="D746" s="1">
        <v>123037</v>
      </c>
      <c r="E746" s="0" t="inlineStr">
        <is>
          <t>IOWA LIV W CO 12PK:123037Z-12PK</t>
        </is>
      </c>
      <c r="F746" s="2">
        <v>800123037996</v>
      </c>
      <c r="G746" s="0" t="inlineStr">
        <is>
          <t>WOMENS</t>
        </is>
      </c>
      <c r="H746" s="0" t="inlineStr">
        <is>
          <t>12 PACK</t>
        </is>
      </c>
      <c r="I746" s="0">
        <v>528</v>
      </c>
      <c r="J746" s="0">
        <v>0</v>
      </c>
    </row>
    <row r="747" spans="1:10" customHeight="0">
      <c r="A747" s="0">
        <f>HYPERLINK("https://dl.dropboxusercontent.com/scl/fi/ilq6k5ik8nvmcp4x2ozaa/125348-f.jpg?rlkey=7qqgeex6zj5kd7llifdnn1cog&amp;dl=0","Click to download Image")</f>
      </c>
      <c r="B747" s="0">
        <f>HYPERLINK("https://dl.dropboxusercontent.com/scl/fi/xczydqmf8cgfalm0itsro/womens-pullover-size-chartsnyx.jpg?rlkey=rao2j8srs4w5rjiegyaivla70&amp;dl=0","Click to download SizeChart")</f>
      </c>
      <c r="C747" s="0" t="inlineStr">
        <is>
          <t>Nyx Women's Pullover</t>
        </is>
      </c>
      <c r="D747" s="1">
        <v>125348</v>
      </c>
      <c r="E747" s="0" t="inlineStr">
        <is>
          <t>IOWA NYX W RE:125348A-S</t>
        </is>
      </c>
      <c r="F747" s="2">
        <v>800125348045</v>
      </c>
      <c r="G747" s="0" t="inlineStr">
        <is>
          <t>WOMENS</t>
        </is>
      </c>
      <c r="H747" s="0" t="inlineStr">
        <is>
          <t>S</t>
        </is>
      </c>
      <c r="I747" s="0">
        <v>49.99</v>
      </c>
      <c r="J747" s="0">
        <v>2</v>
      </c>
    </row>
    <row r="748" spans="1:10" customHeight="0">
      <c r="A748" s="0">
        <f>HYPERLINK("https://dl.dropboxusercontent.com/scl/fi/ilq6k5ik8nvmcp4x2ozaa/125348-f.jpg?rlkey=7qqgeex6zj5kd7llifdnn1cog&amp;dl=0","Click to download Image")</f>
      </c>
      <c r="B748" s="0">
        <f>HYPERLINK("https://dl.dropboxusercontent.com/scl/fi/xczydqmf8cgfalm0itsro/womens-pullover-size-chartsnyx.jpg?rlkey=rao2j8srs4w5rjiegyaivla70&amp;dl=0","Click to download SizeChart")</f>
      </c>
      <c r="C748" s="0" t="inlineStr">
        <is>
          <t>Nyx Women's Pullover</t>
        </is>
      </c>
      <c r="D748" s="1">
        <v>125348</v>
      </c>
      <c r="E748" s="0" t="inlineStr">
        <is>
          <t>IOWA NYX W RE:125348B-M</t>
        </is>
      </c>
      <c r="F748" s="2">
        <v>800125348052</v>
      </c>
      <c r="G748" s="0" t="inlineStr">
        <is>
          <t>WOMENS</t>
        </is>
      </c>
      <c r="H748" s="0" t="inlineStr">
        <is>
          <t>M</t>
        </is>
      </c>
      <c r="I748" s="0">
        <v>49.99</v>
      </c>
      <c r="J748" s="0">
        <v>4</v>
      </c>
    </row>
    <row r="749" spans="1:10" customHeight="0">
      <c r="A749" s="0">
        <f>HYPERLINK("https://dl.dropboxusercontent.com/scl/fi/ilq6k5ik8nvmcp4x2ozaa/125348-f.jpg?rlkey=7qqgeex6zj5kd7llifdnn1cog&amp;dl=0","Click to download Image")</f>
      </c>
      <c r="B749" s="0">
        <f>HYPERLINK("https://dl.dropboxusercontent.com/scl/fi/xczydqmf8cgfalm0itsro/womens-pullover-size-chartsnyx.jpg?rlkey=rao2j8srs4w5rjiegyaivla70&amp;dl=0","Click to download SizeChart")</f>
      </c>
      <c r="C749" s="0" t="inlineStr">
        <is>
          <t>Nyx Women's Pullover</t>
        </is>
      </c>
      <c r="D749" s="1">
        <v>125348</v>
      </c>
      <c r="E749" s="0" t="inlineStr">
        <is>
          <t>IOWA NYX W RE:125348C-L</t>
        </is>
      </c>
      <c r="F749" s="2">
        <v>800125348069</v>
      </c>
      <c r="G749" s="0" t="inlineStr">
        <is>
          <t>WOMENS</t>
        </is>
      </c>
      <c r="H749" s="0" t="inlineStr">
        <is>
          <t>L</t>
        </is>
      </c>
      <c r="I749" s="0">
        <v>49.99</v>
      </c>
      <c r="J749" s="0">
        <v>3</v>
      </c>
    </row>
    <row r="750" spans="1:10" customHeight="0">
      <c r="A750" s="0">
        <f>HYPERLINK("https://dl.dropboxusercontent.com/scl/fi/ilq6k5ik8nvmcp4x2ozaa/125348-f.jpg?rlkey=7qqgeex6zj5kd7llifdnn1cog&amp;dl=0","Click to download Image")</f>
      </c>
      <c r="B750" s="0">
        <f>HYPERLINK("https://dl.dropboxusercontent.com/scl/fi/xczydqmf8cgfalm0itsro/womens-pullover-size-chartsnyx.jpg?rlkey=rao2j8srs4w5rjiegyaivla70&amp;dl=0","Click to download SizeChart")</f>
      </c>
      <c r="C750" s="0" t="inlineStr">
        <is>
          <t>Nyx Women's Pullover</t>
        </is>
      </c>
      <c r="D750" s="1">
        <v>125348</v>
      </c>
      <c r="E750" s="0" t="inlineStr">
        <is>
          <t>IOWA NYX W RE:125348D-XL</t>
        </is>
      </c>
      <c r="F750" s="2">
        <v>800125348076</v>
      </c>
      <c r="G750" s="0" t="inlineStr">
        <is>
          <t>WOMENS</t>
        </is>
      </c>
      <c r="H750" s="0" t="inlineStr">
        <is>
          <t>XL</t>
        </is>
      </c>
      <c r="I750" s="0">
        <v>49.99</v>
      </c>
      <c r="J750" s="0">
        <v>0</v>
      </c>
    </row>
    <row r="751" spans="1:10" customHeight="0">
      <c r="A751" s="0">
        <f>HYPERLINK("https://dl.dropboxusercontent.com/scl/fi/ilq6k5ik8nvmcp4x2ozaa/125348-f.jpg?rlkey=7qqgeex6zj5kd7llifdnn1cog&amp;dl=0","Click to download Image")</f>
      </c>
      <c r="B751" s="0">
        <f>HYPERLINK("https://dl.dropboxusercontent.com/scl/fi/xczydqmf8cgfalm0itsro/womens-pullover-size-chartsnyx.jpg?rlkey=rao2j8srs4w5rjiegyaivla70&amp;dl=0","Click to download SizeChart")</f>
      </c>
      <c r="C751" s="0" t="inlineStr">
        <is>
          <t>Nyx Women's Pullover</t>
        </is>
      </c>
      <c r="D751" s="1">
        <v>125348</v>
      </c>
      <c r="E751" s="0" t="inlineStr">
        <is>
          <t>IOWA NYX W RE:125348E-2XL</t>
        </is>
      </c>
      <c r="F751" s="2">
        <v>800125348083</v>
      </c>
      <c r="G751" s="0" t="inlineStr">
        <is>
          <t>WOMENS</t>
        </is>
      </c>
      <c r="H751" s="0" t="inlineStr">
        <is>
          <t>2XL</t>
        </is>
      </c>
      <c r="I751" s="0">
        <v>49.99</v>
      </c>
      <c r="J751" s="0">
        <v>2</v>
      </c>
    </row>
    <row r="752" spans="1:10" customHeight="0">
      <c r="A752" s="0">
        <f>HYPERLINK("https://dl.dropboxusercontent.com/scl/fi/ilq6k5ik8nvmcp4x2ozaa/125348-f.jpg?rlkey=7qqgeex6zj5kd7llifdnn1cog&amp;dl=0","Click to download Image")</f>
      </c>
      <c r="B752" s="0">
        <f>HYPERLINK("https://dl.dropboxusercontent.com/scl/fi/xczydqmf8cgfalm0itsro/womens-pullover-size-chartsnyx.jpg?rlkey=rao2j8srs4w5rjiegyaivla70&amp;dl=0","Click to download SizeChart")</f>
      </c>
      <c r="C752" s="0" t="inlineStr">
        <is>
          <t>Nyx Women's Pullover</t>
        </is>
      </c>
      <c r="D752" s="1">
        <v>125348</v>
      </c>
      <c r="E752" s="0" t="inlineStr">
        <is>
          <t>IOWA NYX W RE:125348F-3XL</t>
        </is>
      </c>
      <c r="F752" s="2">
        <v>800125348090</v>
      </c>
      <c r="G752" s="0" t="inlineStr">
        <is>
          <t>WOMENS</t>
        </is>
      </c>
      <c r="H752" s="0" t="inlineStr">
        <is>
          <t>3XL</t>
        </is>
      </c>
      <c r="I752" s="0">
        <v>49.99</v>
      </c>
      <c r="J752" s="0">
        <v>0</v>
      </c>
    </row>
    <row r="753" spans="1:10" customHeight="0">
      <c r="A753" s="0">
        <f>HYPERLINK("https://dl.dropboxusercontent.com/scl/fi/ilq6k5ik8nvmcp4x2ozaa/125348-f.jpg?rlkey=7qqgeex6zj5kd7llifdnn1cog&amp;dl=0","Click to download Image")</f>
      </c>
      <c r="B753" s="0">
        <f>HYPERLINK("https://dl.dropboxusercontent.com/scl/fi/xczydqmf8cgfalm0itsro/womens-pullover-size-chartsnyx.jpg?rlkey=rao2j8srs4w5rjiegyaivla70&amp;dl=0","Click to download SizeChart")</f>
      </c>
      <c r="C753" s="0" t="inlineStr">
        <is>
          <t>Nyx Women's Pullover</t>
        </is>
      </c>
      <c r="D753" s="1">
        <v>125348</v>
      </c>
      <c r="E753" s="0" t="inlineStr">
        <is>
          <t>IOWA NYX W RE 12PK:125348Z-12PK</t>
        </is>
      </c>
      <c r="F753" s="2">
        <v>800125348991</v>
      </c>
      <c r="G753" s="0" t="inlineStr">
        <is>
          <t>WOMENS</t>
        </is>
      </c>
      <c r="H753" s="0" t="inlineStr">
        <is>
          <t>12 PACK</t>
        </is>
      </c>
      <c r="I753" s="0">
        <v>480</v>
      </c>
      <c r="J753" s="0">
        <v>0</v>
      </c>
    </row>
    <row r="754" spans="1:10" customHeight="0">
      <c r="A754" s="0">
        <f>HYPERLINK("https://dl.dropboxusercontent.com/scl/fi/957agb85dmhckh0c7o26i/113496af09973.jpg?rlkey=dyoi9lzoi7q77f7xtin9mn52e&amp;dl=0","Click to download Image")</f>
      </c>
      <c r="B754" s="0">
        <f>HYPERLINK("https://dl.dropboxusercontent.com/scl/fi/0ae5x73tvw449ojzey53s/mens-jackets-size-chartsrobert.jpg?rlkey=ir6ufhs82dakslrf9qlfnxmp4&amp;dl=0","Click to download SizeChart")</f>
      </c>
      <c r="C754" s="0" t="inlineStr">
        <is>
          <t>Robert Men's Wool Vest</t>
        </is>
      </c>
      <c r="D754" s="1">
        <v>113496</v>
      </c>
      <c r="E754" s="0" t="inlineStr">
        <is>
          <t>IOWA ROBERT M BLACK:113496A-S</t>
        </is>
      </c>
      <c r="F754" s="2">
        <v>800113496048</v>
      </c>
      <c r="G754" s="0" t="inlineStr">
        <is>
          <t>MENS</t>
        </is>
      </c>
      <c r="H754" s="0" t="inlineStr">
        <is>
          <t>S</t>
        </is>
      </c>
      <c r="I754" s="0">
        <v>59.99</v>
      </c>
      <c r="J754" s="0">
        <v>7</v>
      </c>
    </row>
    <row r="755" spans="1:10" customHeight="0">
      <c r="A755" s="0">
        <f>HYPERLINK("https://dl.dropboxusercontent.com/scl/fi/957agb85dmhckh0c7o26i/113496af09973.jpg?rlkey=dyoi9lzoi7q77f7xtin9mn52e&amp;dl=0","Click to download Image")</f>
      </c>
      <c r="B755" s="0">
        <f>HYPERLINK("https://dl.dropboxusercontent.com/scl/fi/0ae5x73tvw449ojzey53s/mens-jackets-size-chartsrobert.jpg?rlkey=ir6ufhs82dakslrf9qlfnxmp4&amp;dl=0","Click to download SizeChart")</f>
      </c>
      <c r="C755" s="0" t="inlineStr">
        <is>
          <t>Robert Men's Wool Vest</t>
        </is>
      </c>
      <c r="D755" s="1">
        <v>113496</v>
      </c>
      <c r="E755" s="0" t="inlineStr">
        <is>
          <t>IOWA ROBERT M BLACK:113496B-M</t>
        </is>
      </c>
      <c r="F755" s="2">
        <v>800113496055</v>
      </c>
      <c r="G755" s="0" t="inlineStr">
        <is>
          <t>MENS</t>
        </is>
      </c>
      <c r="H755" s="0" t="inlineStr">
        <is>
          <t>M</t>
        </is>
      </c>
      <c r="I755" s="0">
        <v>59.99</v>
      </c>
      <c r="J755" s="0">
        <v>4</v>
      </c>
    </row>
    <row r="756" spans="1:10" customHeight="0">
      <c r="A756" s="0">
        <f>HYPERLINK("https://dl.dropboxusercontent.com/scl/fi/957agb85dmhckh0c7o26i/113496af09973.jpg?rlkey=dyoi9lzoi7q77f7xtin9mn52e&amp;dl=0","Click to download Image")</f>
      </c>
      <c r="B756" s="0">
        <f>HYPERLINK("https://dl.dropboxusercontent.com/scl/fi/0ae5x73tvw449ojzey53s/mens-jackets-size-chartsrobert.jpg?rlkey=ir6ufhs82dakslrf9qlfnxmp4&amp;dl=0","Click to download SizeChart")</f>
      </c>
      <c r="C756" s="0" t="inlineStr">
        <is>
          <t>Robert Men's Wool Vest</t>
        </is>
      </c>
      <c r="D756" s="1">
        <v>113496</v>
      </c>
      <c r="E756" s="0" t="inlineStr">
        <is>
          <t>IOWA ROBERT M BLACK:113496C-L</t>
        </is>
      </c>
      <c r="F756" s="2">
        <v>800113496062</v>
      </c>
      <c r="G756" s="0" t="inlineStr">
        <is>
          <t>MENS</t>
        </is>
      </c>
      <c r="H756" s="0" t="inlineStr">
        <is>
          <t>L</t>
        </is>
      </c>
      <c r="I756" s="0">
        <v>59.99</v>
      </c>
      <c r="J756" s="0">
        <v>0</v>
      </c>
    </row>
    <row r="757" spans="1:10" customHeight="0">
      <c r="A757" s="0">
        <f>HYPERLINK("https://dl.dropboxusercontent.com/scl/fi/957agb85dmhckh0c7o26i/113496af09973.jpg?rlkey=dyoi9lzoi7q77f7xtin9mn52e&amp;dl=0","Click to download Image")</f>
      </c>
      <c r="B757" s="0">
        <f>HYPERLINK("https://dl.dropboxusercontent.com/scl/fi/0ae5x73tvw449ojzey53s/mens-jackets-size-chartsrobert.jpg?rlkey=ir6ufhs82dakslrf9qlfnxmp4&amp;dl=0","Click to download SizeChart")</f>
      </c>
      <c r="C757" s="0" t="inlineStr">
        <is>
          <t>Robert Men's Wool Vest</t>
        </is>
      </c>
      <c r="D757" s="1">
        <v>113496</v>
      </c>
      <c r="E757" s="0" t="inlineStr">
        <is>
          <t>IOWA ROBERT M BLACK:113496D-XL</t>
        </is>
      </c>
      <c r="F757" s="2">
        <v>800113496079</v>
      </c>
      <c r="G757" s="0" t="inlineStr">
        <is>
          <t>MENS</t>
        </is>
      </c>
      <c r="H757" s="0" t="inlineStr">
        <is>
          <t>XL</t>
        </is>
      </c>
      <c r="I757" s="0">
        <v>59.99</v>
      </c>
      <c r="J757" s="0">
        <v>0</v>
      </c>
    </row>
    <row r="758" spans="1:10" customHeight="0">
      <c r="A758" s="0">
        <f>HYPERLINK("https://dl.dropboxusercontent.com/scl/fi/957agb85dmhckh0c7o26i/113496af09973.jpg?rlkey=dyoi9lzoi7q77f7xtin9mn52e&amp;dl=0","Click to download Image")</f>
      </c>
      <c r="B758" s="0">
        <f>HYPERLINK("https://dl.dropboxusercontent.com/scl/fi/0ae5x73tvw449ojzey53s/mens-jackets-size-chartsrobert.jpg?rlkey=ir6ufhs82dakslrf9qlfnxmp4&amp;dl=0","Click to download SizeChart")</f>
      </c>
      <c r="C758" s="0" t="inlineStr">
        <is>
          <t>Robert Men's Wool Vest</t>
        </is>
      </c>
      <c r="D758" s="1">
        <v>113496</v>
      </c>
      <c r="E758" s="0" t="inlineStr">
        <is>
          <t>IOWA ROBERT M BLACK:113496E-2XL</t>
        </is>
      </c>
      <c r="F758" s="2">
        <v>800113496086</v>
      </c>
      <c r="G758" s="0" t="inlineStr">
        <is>
          <t>MENS</t>
        </is>
      </c>
      <c r="H758" s="0" t="inlineStr">
        <is>
          <t>2XL</t>
        </is>
      </c>
      <c r="I758" s="0">
        <v>59.99</v>
      </c>
      <c r="J758" s="0">
        <v>0</v>
      </c>
    </row>
    <row r="759" spans="1:10" customHeight="0">
      <c r="A759" s="0">
        <f>HYPERLINK("https://dl.dropboxusercontent.com/scl/fi/957agb85dmhckh0c7o26i/113496af09973.jpg?rlkey=dyoi9lzoi7q77f7xtin9mn52e&amp;dl=0","Click to download Image")</f>
      </c>
      <c r="B759" s="0">
        <f>HYPERLINK("https://dl.dropboxusercontent.com/scl/fi/0ae5x73tvw449ojzey53s/mens-jackets-size-chartsrobert.jpg?rlkey=ir6ufhs82dakslrf9qlfnxmp4&amp;dl=0","Click to download SizeChart")</f>
      </c>
      <c r="C759" s="0" t="inlineStr">
        <is>
          <t>Robert Men's Wool Vest</t>
        </is>
      </c>
      <c r="D759" s="1">
        <v>113496</v>
      </c>
      <c r="E759" s="0" t="inlineStr">
        <is>
          <t>IOWA ROBERT M BLACK:113496F-3XL</t>
        </is>
      </c>
      <c r="F759" s="2">
        <v>800113496093</v>
      </c>
      <c r="G759" s="0" t="inlineStr">
        <is>
          <t>MENS</t>
        </is>
      </c>
      <c r="H759" s="0" t="inlineStr">
        <is>
          <t>3XL</t>
        </is>
      </c>
      <c r="I759" s="0">
        <v>59.99</v>
      </c>
      <c r="J759" s="0">
        <v>0</v>
      </c>
    </row>
    <row r="760" spans="1:10" customHeight="0">
      <c r="A760" s="0">
        <f>HYPERLINK("https://dl.dropboxusercontent.com/scl/fi/957agb85dmhckh0c7o26i/113496af09973.jpg?rlkey=dyoi9lzoi7q77f7xtin9mn52e&amp;dl=0","Click to download Image")</f>
      </c>
      <c r="B760" s="0">
        <f>HYPERLINK("https://dl.dropboxusercontent.com/scl/fi/0ae5x73tvw449ojzey53s/mens-jackets-size-chartsrobert.jpg?rlkey=ir6ufhs82dakslrf9qlfnxmp4&amp;dl=0","Click to download SizeChart")</f>
      </c>
      <c r="C760" s="0" t="inlineStr">
        <is>
          <t>Robert Men's Wool Vest</t>
        </is>
      </c>
      <c r="D760" s="1">
        <v>113496</v>
      </c>
      <c r="E760" s="0" t="inlineStr">
        <is>
          <t>IOWA ROBERT M BLACK 12 PACK:113496Z-12PK</t>
        </is>
      </c>
      <c r="F760" s="2">
        <v>800113496994</v>
      </c>
      <c r="G760" s="0" t="inlineStr">
        <is>
          <t>MENS</t>
        </is>
      </c>
      <c r="H760" s="0" t="inlineStr">
        <is>
          <t>12 PACK</t>
        </is>
      </c>
      <c r="I760" s="0">
        <v>582</v>
      </c>
      <c r="J760" s="0">
        <v>0</v>
      </c>
    </row>
    <row r="761" spans="1:10" customHeight="0">
      <c r="A761" s="0">
        <f>HYPERLINK("https://dl.dropboxusercontent.com/scl/fi/m3820tcjv1k39x4fuhpcb/wardt.jpg?rlkey=r82gq3wffr9no0wnl57ncpbu2&amp;dl=0","Click to download Image")</f>
      </c>
      <c r="B761" s="0">
        <f>HYPERLINK("https://dl.dropboxusercontent.com/scl/fi/2awdmdvaa7bbincrvvc3n/mens-jackets-size-chartsward.jpg?rlkey=sogblf2688x0ezy3um97rccc9&amp;dl=0","Click to download SizeChart")</f>
      </c>
      <c r="C761" s="0" t="inlineStr">
        <is>
          <t>Ward Men's Jacket</t>
        </is>
      </c>
      <c r="D761" s="1">
        <v>123282</v>
      </c>
      <c r="E761" s="0" t="inlineStr">
        <is>
          <t>IOWA WARD M GY:123282A-S</t>
        </is>
      </c>
      <c r="F761" s="2">
        <v>800123282044</v>
      </c>
      <c r="G761" s="0" t="inlineStr">
        <is>
          <t>MENS</t>
        </is>
      </c>
      <c r="H761" s="0" t="inlineStr">
        <is>
          <t>S</t>
        </is>
      </c>
      <c r="I761" s="0">
        <v>59.99</v>
      </c>
      <c r="J761" s="0">
        <v>2</v>
      </c>
    </row>
    <row r="762" spans="1:10" customHeight="0">
      <c r="A762" s="0">
        <f>HYPERLINK("https://dl.dropboxusercontent.com/scl/fi/m3820tcjv1k39x4fuhpcb/wardt.jpg?rlkey=r82gq3wffr9no0wnl57ncpbu2&amp;dl=0","Click to download Image")</f>
      </c>
      <c r="B762" s="0">
        <f>HYPERLINK("https://dl.dropboxusercontent.com/scl/fi/2awdmdvaa7bbincrvvc3n/mens-jackets-size-chartsward.jpg?rlkey=sogblf2688x0ezy3um97rccc9&amp;dl=0","Click to download SizeChart")</f>
      </c>
      <c r="C762" s="0" t="inlineStr">
        <is>
          <t>Ward Men's Jacket</t>
        </is>
      </c>
      <c r="D762" s="1">
        <v>123282</v>
      </c>
      <c r="E762" s="0" t="inlineStr">
        <is>
          <t>IOWA WARD M GY:123282B-M</t>
        </is>
      </c>
      <c r="F762" s="2">
        <v>800123282051</v>
      </c>
      <c r="G762" s="0" t="inlineStr">
        <is>
          <t>MENS</t>
        </is>
      </c>
      <c r="H762" s="0" t="inlineStr">
        <is>
          <t>M</t>
        </is>
      </c>
      <c r="I762" s="0">
        <v>59.99</v>
      </c>
      <c r="J762" s="0">
        <v>4</v>
      </c>
    </row>
    <row r="763" spans="1:10" customHeight="0">
      <c r="A763" s="0">
        <f>HYPERLINK("https://dl.dropboxusercontent.com/scl/fi/m3820tcjv1k39x4fuhpcb/wardt.jpg?rlkey=r82gq3wffr9no0wnl57ncpbu2&amp;dl=0","Click to download Image")</f>
      </c>
      <c r="B763" s="0">
        <f>HYPERLINK("https://dl.dropboxusercontent.com/scl/fi/2awdmdvaa7bbincrvvc3n/mens-jackets-size-chartsward.jpg?rlkey=sogblf2688x0ezy3um97rccc9&amp;dl=0","Click to download SizeChart")</f>
      </c>
      <c r="C763" s="0" t="inlineStr">
        <is>
          <t>Ward Men's Jacket</t>
        </is>
      </c>
      <c r="D763" s="1">
        <v>123282</v>
      </c>
      <c r="E763" s="0" t="inlineStr">
        <is>
          <t>IOWA WARD M GY:123282C-L</t>
        </is>
      </c>
      <c r="F763" s="2">
        <v>800123282068</v>
      </c>
      <c r="G763" s="0" t="inlineStr">
        <is>
          <t>MENS</t>
        </is>
      </c>
      <c r="H763" s="0" t="inlineStr">
        <is>
          <t>L</t>
        </is>
      </c>
      <c r="I763" s="0">
        <v>59.99</v>
      </c>
      <c r="J763" s="0">
        <v>3</v>
      </c>
    </row>
    <row r="764" spans="1:10" customHeight="0">
      <c r="A764" s="0">
        <f>HYPERLINK("https://dl.dropboxusercontent.com/scl/fi/m3820tcjv1k39x4fuhpcb/wardt.jpg?rlkey=r82gq3wffr9no0wnl57ncpbu2&amp;dl=0","Click to download Image")</f>
      </c>
      <c r="B764" s="0">
        <f>HYPERLINK("https://dl.dropboxusercontent.com/scl/fi/2awdmdvaa7bbincrvvc3n/mens-jackets-size-chartsward.jpg?rlkey=sogblf2688x0ezy3um97rccc9&amp;dl=0","Click to download SizeChart")</f>
      </c>
      <c r="C764" s="0" t="inlineStr">
        <is>
          <t>Ward Men's Jacket</t>
        </is>
      </c>
      <c r="D764" s="1">
        <v>123282</v>
      </c>
      <c r="E764" s="0" t="inlineStr">
        <is>
          <t>IOWA WARD M GY:123282D-XL</t>
        </is>
      </c>
      <c r="F764" s="2">
        <v>800123282075</v>
      </c>
      <c r="G764" s="0" t="inlineStr">
        <is>
          <t>MENS</t>
        </is>
      </c>
      <c r="H764" s="0" t="inlineStr">
        <is>
          <t>XL</t>
        </is>
      </c>
      <c r="I764" s="0">
        <v>59.99</v>
      </c>
      <c r="J764" s="0">
        <v>4</v>
      </c>
    </row>
    <row r="765" spans="1:10" customHeight="0">
      <c r="A765" s="0">
        <f>HYPERLINK("https://dl.dropboxusercontent.com/scl/fi/m3820tcjv1k39x4fuhpcb/wardt.jpg?rlkey=r82gq3wffr9no0wnl57ncpbu2&amp;dl=0","Click to download Image")</f>
      </c>
      <c r="B765" s="0">
        <f>HYPERLINK("https://dl.dropboxusercontent.com/scl/fi/2awdmdvaa7bbincrvvc3n/mens-jackets-size-chartsward.jpg?rlkey=sogblf2688x0ezy3um97rccc9&amp;dl=0","Click to download SizeChart")</f>
      </c>
      <c r="C765" s="0" t="inlineStr">
        <is>
          <t>Ward Men's Jacket</t>
        </is>
      </c>
      <c r="D765" s="1">
        <v>123282</v>
      </c>
      <c r="E765" s="0" t="inlineStr">
        <is>
          <t>IOWA WARD M GY:123282E-2XL</t>
        </is>
      </c>
      <c r="F765" s="2">
        <v>800123282082</v>
      </c>
      <c r="G765" s="0" t="inlineStr">
        <is>
          <t>MENS</t>
        </is>
      </c>
      <c r="H765" s="0" t="inlineStr">
        <is>
          <t>2XL</t>
        </is>
      </c>
      <c r="I765" s="0">
        <v>59.99</v>
      </c>
      <c r="J765" s="0">
        <v>4</v>
      </c>
    </row>
    <row r="766" spans="1:10" customHeight="0">
      <c r="A766" s="0">
        <f>HYPERLINK("https://dl.dropboxusercontent.com/scl/fi/m3820tcjv1k39x4fuhpcb/wardt.jpg?rlkey=r82gq3wffr9no0wnl57ncpbu2&amp;dl=0","Click to download Image")</f>
      </c>
      <c r="B766" s="0">
        <f>HYPERLINK("https://dl.dropboxusercontent.com/scl/fi/2awdmdvaa7bbincrvvc3n/mens-jackets-size-chartsward.jpg?rlkey=sogblf2688x0ezy3um97rccc9&amp;dl=0","Click to download SizeChart")</f>
      </c>
      <c r="C766" s="0" t="inlineStr">
        <is>
          <t>Ward Men's Jacket</t>
        </is>
      </c>
      <c r="D766" s="1">
        <v>123282</v>
      </c>
      <c r="E766" s="0" t="inlineStr">
        <is>
          <t>IOWA WARD M GY:123282F-3XL</t>
        </is>
      </c>
      <c r="F766" s="2">
        <v>800123282099</v>
      </c>
      <c r="G766" s="0" t="inlineStr">
        <is>
          <t>MENS</t>
        </is>
      </c>
      <c r="H766" s="0" t="inlineStr">
        <is>
          <t>3XL</t>
        </is>
      </c>
      <c r="I766" s="0">
        <v>59.99</v>
      </c>
      <c r="J766" s="0">
        <v>2</v>
      </c>
    </row>
    <row r="767" spans="1:10" customHeight="0">
      <c r="A767" s="0">
        <f>HYPERLINK("https://dl.dropboxusercontent.com/scl/fi/m3820tcjv1k39x4fuhpcb/wardt.jpg?rlkey=r82gq3wffr9no0wnl57ncpbu2&amp;dl=0","Click to download Image")</f>
      </c>
      <c r="B767" s="0">
        <f>HYPERLINK("https://dl.dropboxusercontent.com/scl/fi/2awdmdvaa7bbincrvvc3n/mens-jackets-size-chartsward.jpg?rlkey=sogblf2688x0ezy3um97rccc9&amp;dl=0","Click to download SizeChart")</f>
      </c>
      <c r="C767" s="0" t="inlineStr">
        <is>
          <t>Ward Men's Jacket</t>
        </is>
      </c>
      <c r="D767" s="1">
        <v>123282</v>
      </c>
      <c r="E767" s="0" t="inlineStr">
        <is>
          <t>IOWA WARD M GY 12PK:123282Z-12PK</t>
        </is>
      </c>
      <c r="F767" s="2">
        <v>800123282990</v>
      </c>
      <c r="G767" s="0" t="inlineStr">
        <is>
          <t>MENS</t>
        </is>
      </c>
      <c r="H767" s="0" t="inlineStr">
        <is>
          <t>12 PACK</t>
        </is>
      </c>
      <c r="I767" s="0">
        <v>582</v>
      </c>
      <c r="J767" s="0">
        <v>0</v>
      </c>
    </row>
    <row r="768" spans="1:10" customHeight="0">
      <c r="A768" s="0">
        <f>HYPERLINK("https://dl.dropboxusercontent.com/scl/fi/ac7ykx32uqxpfe1hgrj7r/larkt.jpg?rlkey=6odksavpzsptm8g8io0srmh15&amp;dl=0","Click to download Image")</f>
      </c>
      <c r="C768" s="0" t="inlineStr">
        <is>
          <t>Lark Youth Polo</t>
        </is>
      </c>
      <c r="D768" s="1">
        <v>124797</v>
      </c>
      <c r="E768" s="0" t="inlineStr">
        <is>
          <t>IOWA LARK Y BK:124797B-YS</t>
        </is>
      </c>
      <c r="F768" s="2">
        <v>800124797011</v>
      </c>
      <c r="G768" s="0" t="inlineStr">
        <is>
          <t>YOUTH</t>
        </is>
      </c>
      <c r="H768" s="0" t="inlineStr">
        <is>
          <t>YS</t>
        </is>
      </c>
      <c r="I768" s="0">
        <v>34.99</v>
      </c>
      <c r="J768" s="0">
        <v>0</v>
      </c>
    </row>
    <row r="769" spans="1:10" customHeight="0">
      <c r="A769" s="0">
        <f>HYPERLINK("https://dl.dropboxusercontent.com/scl/fi/ac7ykx32uqxpfe1hgrj7r/larkt.jpg?rlkey=6odksavpzsptm8g8io0srmh15&amp;dl=0","Click to download Image")</f>
      </c>
      <c r="C769" s="0" t="inlineStr">
        <is>
          <t>Lark Youth Polo</t>
        </is>
      </c>
      <c r="D769" s="1">
        <v>124797</v>
      </c>
      <c r="E769" s="0" t="inlineStr">
        <is>
          <t>IOWA LARK Y BK:124797C-YM</t>
        </is>
      </c>
      <c r="F769" s="2">
        <v>800124797028</v>
      </c>
      <c r="G769" s="0" t="inlineStr">
        <is>
          <t>YOUTH</t>
        </is>
      </c>
      <c r="H769" s="0" t="inlineStr">
        <is>
          <t>YM</t>
        </is>
      </c>
      <c r="I769" s="0">
        <v>34.99</v>
      </c>
      <c r="J769" s="0">
        <v>0</v>
      </c>
    </row>
    <row r="770" spans="1:10" customHeight="0">
      <c r="A770" s="0">
        <f>HYPERLINK("https://dl.dropboxusercontent.com/scl/fi/ac7ykx32uqxpfe1hgrj7r/larkt.jpg?rlkey=6odksavpzsptm8g8io0srmh15&amp;dl=0","Click to download Image")</f>
      </c>
      <c r="C770" s="0" t="inlineStr">
        <is>
          <t>Lark Youth Polo</t>
        </is>
      </c>
      <c r="D770" s="1">
        <v>124797</v>
      </c>
      <c r="E770" s="0" t="inlineStr">
        <is>
          <t>IOWA LARK Y BK:124797D-YL</t>
        </is>
      </c>
      <c r="F770" s="2">
        <v>800124797035</v>
      </c>
      <c r="G770" s="0" t="inlineStr">
        <is>
          <t>YOUTH</t>
        </is>
      </c>
      <c r="H770" s="0" t="inlineStr">
        <is>
          <t>YL</t>
        </is>
      </c>
      <c r="I770" s="0">
        <v>34.99</v>
      </c>
      <c r="J770" s="0">
        <v>0</v>
      </c>
    </row>
    <row r="771" spans="1:10" customHeight="0">
      <c r="A771" s="0">
        <f>HYPERLINK("https://dl.dropboxusercontent.com/scl/fi/ac7ykx32uqxpfe1hgrj7r/larkt.jpg?rlkey=6odksavpzsptm8g8io0srmh15&amp;dl=0","Click to download Image")</f>
      </c>
      <c r="C771" s="0" t="inlineStr">
        <is>
          <t>Lark Youth Polo</t>
        </is>
      </c>
      <c r="D771" s="1">
        <v>124797</v>
      </c>
      <c r="E771" s="0" t="inlineStr">
        <is>
          <t>IOWA LARK Y BK:124797E-YXL</t>
        </is>
      </c>
      <c r="F771" s="2">
        <v>800124797042</v>
      </c>
      <c r="G771" s="0" t="inlineStr">
        <is>
          <t>YOUTH</t>
        </is>
      </c>
      <c r="H771" s="0" t="inlineStr">
        <is>
          <t>YXL</t>
        </is>
      </c>
      <c r="I771" s="0">
        <v>34.99</v>
      </c>
      <c r="J771" s="0">
        <v>2</v>
      </c>
    </row>
    <row r="772" spans="1:10" customHeight="0">
      <c r="A772" s="0">
        <f>HYPERLINK("https://dl.dropboxusercontent.com/scl/fi/ac7ykx32uqxpfe1hgrj7r/larkt.jpg?rlkey=6odksavpzsptm8g8io0srmh15&amp;dl=0","Click to download Image")</f>
      </c>
      <c r="C772" s="0" t="inlineStr">
        <is>
          <t>Lark Youth Polo</t>
        </is>
      </c>
      <c r="D772" s="1">
        <v>124797</v>
      </c>
      <c r="E772" s="0" t="inlineStr">
        <is>
          <t>IOWA LARK Y BK 12PK:124797Z-12PK</t>
        </is>
      </c>
      <c r="F772" s="2">
        <v>800124797998</v>
      </c>
      <c r="G772" s="0" t="inlineStr">
        <is>
          <t>YOUTH</t>
        </is>
      </c>
      <c r="H772" s="0" t="inlineStr">
        <is>
          <t>12 PACK</t>
        </is>
      </c>
      <c r="I772" s="0">
        <v>336</v>
      </c>
      <c r="J772" s="0">
        <v>0</v>
      </c>
    </row>
    <row r="773" spans="1:10" customHeight="0">
      <c r="A773" s="0">
        <f>HYPERLINK("https://dl.dropboxusercontent.com/scl/fi/06rnnvgkkv3nukds9m64e/124718f19952.jpg?rlkey=uttfvb0dr6tfhgrq86vf7gqgr&amp;dl=0","Click to download Image")</f>
      </c>
      <c r="C773" s="0" t="inlineStr">
        <is>
          <t>Lark Men's Polo</t>
        </is>
      </c>
      <c r="D773" s="1">
        <v>124718</v>
      </c>
      <c r="E773" s="0" t="inlineStr">
        <is>
          <t>IOWA LARK M BK:124718A-S</t>
        </is>
      </c>
      <c r="F773" s="2">
        <v>800124718047</v>
      </c>
      <c r="G773" s="0" t="inlineStr">
        <is>
          <t>MENS</t>
        </is>
      </c>
      <c r="H773" s="0" t="inlineStr">
        <is>
          <t>S</t>
        </is>
      </c>
      <c r="I773" s="0">
        <v>49.99</v>
      </c>
      <c r="J773" s="0">
        <v>3</v>
      </c>
    </row>
    <row r="774" spans="1:10" customHeight="0">
      <c r="A774" s="0">
        <f>HYPERLINK("https://dl.dropboxusercontent.com/scl/fi/06rnnvgkkv3nukds9m64e/124718f19952.jpg?rlkey=uttfvb0dr6tfhgrq86vf7gqgr&amp;dl=0","Click to download Image")</f>
      </c>
      <c r="C774" s="0" t="inlineStr">
        <is>
          <t>Lark Men's Polo</t>
        </is>
      </c>
      <c r="D774" s="1">
        <v>124718</v>
      </c>
      <c r="E774" s="0" t="inlineStr">
        <is>
          <t>IOWA LARK M BK:124718B-M</t>
        </is>
      </c>
      <c r="F774" s="2">
        <v>800124718054</v>
      </c>
      <c r="G774" s="0" t="inlineStr">
        <is>
          <t>MENS</t>
        </is>
      </c>
      <c r="H774" s="0" t="inlineStr">
        <is>
          <t>M</t>
        </is>
      </c>
      <c r="I774" s="0">
        <v>49.99</v>
      </c>
      <c r="J774" s="0">
        <v>0</v>
      </c>
    </row>
    <row r="775" spans="1:10" customHeight="0">
      <c r="A775" s="0">
        <f>HYPERLINK("https://dl.dropboxusercontent.com/scl/fi/06rnnvgkkv3nukds9m64e/124718f19952.jpg?rlkey=uttfvb0dr6tfhgrq86vf7gqgr&amp;dl=0","Click to download Image")</f>
      </c>
      <c r="C775" s="0" t="inlineStr">
        <is>
          <t>Lark Men's Polo</t>
        </is>
      </c>
      <c r="D775" s="1">
        <v>124718</v>
      </c>
      <c r="E775" s="0" t="inlineStr">
        <is>
          <t>IOWA LARK M BK:124718C-L</t>
        </is>
      </c>
      <c r="F775" s="2">
        <v>800124718061</v>
      </c>
      <c r="G775" s="0" t="inlineStr">
        <is>
          <t>MENS</t>
        </is>
      </c>
      <c r="H775" s="0" t="inlineStr">
        <is>
          <t>L</t>
        </is>
      </c>
      <c r="I775" s="0">
        <v>49.99</v>
      </c>
      <c r="J775" s="0">
        <v>0</v>
      </c>
    </row>
    <row r="776" spans="1:10" customHeight="0">
      <c r="A776" s="0">
        <f>HYPERLINK("https://dl.dropboxusercontent.com/scl/fi/06rnnvgkkv3nukds9m64e/124718f19952.jpg?rlkey=uttfvb0dr6tfhgrq86vf7gqgr&amp;dl=0","Click to download Image")</f>
      </c>
      <c r="C776" s="0" t="inlineStr">
        <is>
          <t>Lark Men's Polo</t>
        </is>
      </c>
      <c r="D776" s="1">
        <v>124718</v>
      </c>
      <c r="E776" s="0" t="inlineStr">
        <is>
          <t>IOWA LARK M BK:124718D-XL</t>
        </is>
      </c>
      <c r="F776" s="2">
        <v>800124718078</v>
      </c>
      <c r="G776" s="0" t="inlineStr">
        <is>
          <t>MENS</t>
        </is>
      </c>
      <c r="H776" s="0" t="inlineStr">
        <is>
          <t>XL</t>
        </is>
      </c>
      <c r="I776" s="0">
        <v>49.99</v>
      </c>
      <c r="J776" s="0">
        <v>0</v>
      </c>
    </row>
    <row r="777" spans="1:10" customHeight="0">
      <c r="A777" s="0">
        <f>HYPERLINK("https://dl.dropboxusercontent.com/scl/fi/06rnnvgkkv3nukds9m64e/124718f19952.jpg?rlkey=uttfvb0dr6tfhgrq86vf7gqgr&amp;dl=0","Click to download Image")</f>
      </c>
      <c r="C777" s="0" t="inlineStr">
        <is>
          <t>Lark Men's Polo</t>
        </is>
      </c>
      <c r="D777" s="1">
        <v>124718</v>
      </c>
      <c r="E777" s="0" t="inlineStr">
        <is>
          <t>IOWA LARK M BK:124718E-2XL</t>
        </is>
      </c>
      <c r="F777" s="2">
        <v>800124718085</v>
      </c>
      <c r="G777" s="0" t="inlineStr">
        <is>
          <t>MENS</t>
        </is>
      </c>
      <c r="H777" s="0" t="inlineStr">
        <is>
          <t>2XL</t>
        </is>
      </c>
      <c r="I777" s="0">
        <v>49.99</v>
      </c>
      <c r="J777" s="0">
        <v>0</v>
      </c>
    </row>
    <row r="778" spans="1:10" customHeight="0">
      <c r="A778" s="0">
        <f>HYPERLINK("https://dl.dropboxusercontent.com/scl/fi/06rnnvgkkv3nukds9m64e/124718f19952.jpg?rlkey=uttfvb0dr6tfhgrq86vf7gqgr&amp;dl=0","Click to download Image")</f>
      </c>
      <c r="C778" s="0" t="inlineStr">
        <is>
          <t>Lark Men's Polo</t>
        </is>
      </c>
      <c r="D778" s="1">
        <v>124718</v>
      </c>
      <c r="E778" s="0" t="inlineStr">
        <is>
          <t>IOWA LARK M BK:124718F-3XL</t>
        </is>
      </c>
      <c r="F778" s="2">
        <v>800124718092</v>
      </c>
      <c r="G778" s="0" t="inlineStr">
        <is>
          <t>MENS</t>
        </is>
      </c>
      <c r="H778" s="0" t="inlineStr">
        <is>
          <t>3XL</t>
        </is>
      </c>
      <c r="I778" s="0">
        <v>49.99</v>
      </c>
      <c r="J778" s="0">
        <v>0</v>
      </c>
    </row>
    <row r="779" spans="1:10" customHeight="0">
      <c r="A779" s="0">
        <f>HYPERLINK("https://dl.dropboxusercontent.com/scl/fi/06rnnvgkkv3nukds9m64e/124718f19952.jpg?rlkey=uttfvb0dr6tfhgrq86vf7gqgr&amp;dl=0","Click to download Image")</f>
      </c>
      <c r="C779" s="0" t="inlineStr">
        <is>
          <t>Lark Men's Polo</t>
        </is>
      </c>
      <c r="D779" s="1">
        <v>124718</v>
      </c>
      <c r="E779" s="0" t="inlineStr">
        <is>
          <t>IOWA LARK M BK 12PK:124718Z-12PK</t>
        </is>
      </c>
      <c r="F779" s="2">
        <v>800124718993</v>
      </c>
      <c r="G779" s="0" t="inlineStr">
        <is>
          <t>MENS</t>
        </is>
      </c>
      <c r="H779" s="0" t="inlineStr">
        <is>
          <t>12 PACK</t>
        </is>
      </c>
      <c r="I779" s="0">
        <v>486</v>
      </c>
      <c r="J779" s="0">
        <v>0</v>
      </c>
    </row>
    <row r="780" spans="1:10" customHeight="0">
      <c r="A780" s="0">
        <f>HYPERLINK("https://dl.dropboxusercontent.com/scl/fi/0o4o02r4cjvkksr8toe04/dajaiowa57548.jpg?rlkey=9c8qge46cekgqct2jy4k0y1pz&amp;dl=0","Click to download Image")</f>
      </c>
      <c r="B780" s="0">
        <f>HYPERLINK("https://dl.dropboxusercontent.com/scl/fi/5stgrtlwhpn9arxnxe45e/womens-size-chartsdaja.jpg?rlkey=h8rkkivvfdv0rveqmuqdtppmn&amp;dl=0","Click to download SizeChart")</f>
      </c>
      <c r="C780" s="0" t="inlineStr">
        <is>
          <t>Daja Women's Cardigan</t>
        </is>
      </c>
      <c r="D780" s="1">
        <v>125215</v>
      </c>
      <c r="E780" s="0" t="inlineStr">
        <is>
          <t>IOWA DAJA W RE:125215S/M</t>
        </is>
      </c>
      <c r="F780" s="2">
        <v>800125215422</v>
      </c>
      <c r="G780" s="0" t="inlineStr">
        <is>
          <t>WOMENS</t>
        </is>
      </c>
      <c r="H780" s="0" t="inlineStr">
        <is>
          <t>S/M</t>
        </is>
      </c>
      <c r="I780" s="0">
        <v>49.99</v>
      </c>
      <c r="J780" s="0">
        <v>7</v>
      </c>
    </row>
    <row r="781" spans="1:10" customHeight="0">
      <c r="A781" s="0">
        <f>HYPERLINK("https://dl.dropboxusercontent.com/scl/fi/0o4o02r4cjvkksr8toe04/dajaiowa57548.jpg?rlkey=9c8qge46cekgqct2jy4k0y1pz&amp;dl=0","Click to download Image")</f>
      </c>
      <c r="B781" s="0">
        <f>HYPERLINK("https://dl.dropboxusercontent.com/scl/fi/5stgrtlwhpn9arxnxe45e/womens-size-chartsdaja.jpg?rlkey=h8rkkivvfdv0rveqmuqdtppmn&amp;dl=0","Click to download SizeChart")</f>
      </c>
      <c r="C781" s="0" t="inlineStr">
        <is>
          <t>Daja Women's Cardigan</t>
        </is>
      </c>
      <c r="D781" s="1">
        <v>125215</v>
      </c>
      <c r="E781" s="0" t="inlineStr">
        <is>
          <t>IOWA DAJA W RE:125215L/XL</t>
        </is>
      </c>
      <c r="F781" s="2">
        <v>800125215439</v>
      </c>
      <c r="G781" s="0" t="inlineStr">
        <is>
          <t>WOMENS</t>
        </is>
      </c>
      <c r="H781" s="0" t="inlineStr">
        <is>
          <t>L/XL</t>
        </is>
      </c>
      <c r="I781" s="0">
        <v>49.99</v>
      </c>
      <c r="J781" s="0">
        <v>5</v>
      </c>
    </row>
    <row r="782" spans="1:10" customHeight="0">
      <c r="A782" s="0">
        <f>HYPERLINK("https://dl.dropboxusercontent.com/scl/fi/0o4o02r4cjvkksr8toe04/dajaiowa57548.jpg?rlkey=9c8qge46cekgqct2jy4k0y1pz&amp;dl=0","Click to download Image")</f>
      </c>
      <c r="B782" s="0">
        <f>HYPERLINK("https://dl.dropboxusercontent.com/scl/fi/5stgrtlwhpn9arxnxe45e/womens-size-chartsdaja.jpg?rlkey=h8rkkivvfdv0rveqmuqdtppmn&amp;dl=0","Click to download SizeChart")</f>
      </c>
      <c r="C782" s="0" t="inlineStr">
        <is>
          <t>Daja Women's Cardigan</t>
        </is>
      </c>
      <c r="D782" s="1">
        <v>125215</v>
      </c>
      <c r="E782" s="0" t="inlineStr">
        <is>
          <t>IOWA DAJA W RE 12PK:125215Z-12PK</t>
        </is>
      </c>
      <c r="F782" s="2">
        <v>800125215996</v>
      </c>
      <c r="G782" s="0" t="inlineStr">
        <is>
          <t>WOMENS</t>
        </is>
      </c>
      <c r="H782" s="0" t="inlineStr">
        <is>
          <t>12 PACK</t>
        </is>
      </c>
      <c r="I782" s="0">
        <v>480</v>
      </c>
      <c r="J782" s="0">
        <v>0</v>
      </c>
    </row>
    <row r="783" spans="1:10" customHeight="0">
      <c r="A783" s="0">
        <f>HYPERLINK("https://dl.dropboxusercontent.com/scl/fi/vwsublazxv428c8dl9bgo/123723t77543.jpg?rlkey=6486diz0zt7hx9zhsxwn5bpi3&amp;dl=0","Click to download Image")</f>
      </c>
      <c r="C783" s="0" t="inlineStr">
        <is>
          <t>Walt Toddler Long Sleeve</t>
        </is>
      </c>
      <c r="D783" s="1">
        <v>123826</v>
      </c>
      <c r="E783" s="0" t="inlineStr">
        <is>
          <t>IOWA WALT T CO:123826A-2T</t>
        </is>
      </c>
      <c r="F783" s="2">
        <v>800123826088</v>
      </c>
      <c r="G783" s="0" t="inlineStr">
        <is>
          <t>TODDLER</t>
        </is>
      </c>
      <c r="H783" s="0" t="inlineStr">
        <is>
          <t>2T</t>
        </is>
      </c>
      <c r="I783" s="0">
        <v>34.99</v>
      </c>
      <c r="J783" s="0">
        <v>6</v>
      </c>
    </row>
    <row r="784" spans="1:10" customHeight="0">
      <c r="A784" s="0">
        <f>HYPERLINK("https://dl.dropboxusercontent.com/scl/fi/vwsublazxv428c8dl9bgo/123723t77543.jpg?rlkey=6486diz0zt7hx9zhsxwn5bpi3&amp;dl=0","Click to download Image")</f>
      </c>
      <c r="C784" s="0" t="inlineStr">
        <is>
          <t>Walt Toddler Long Sleeve</t>
        </is>
      </c>
      <c r="D784" s="1">
        <v>123826</v>
      </c>
      <c r="E784" s="0" t="inlineStr">
        <is>
          <t>IOWA WALT T CO:123826B-3T</t>
        </is>
      </c>
      <c r="F784" s="2">
        <v>800123826095</v>
      </c>
      <c r="G784" s="0" t="inlineStr">
        <is>
          <t>TODDLER</t>
        </is>
      </c>
      <c r="H784" s="0" t="inlineStr">
        <is>
          <t>3T</t>
        </is>
      </c>
      <c r="I784" s="0">
        <v>34.99</v>
      </c>
      <c r="J784" s="0">
        <v>6</v>
      </c>
    </row>
    <row r="785" spans="1:10" customHeight="0">
      <c r="A785" s="0">
        <f>HYPERLINK("https://dl.dropboxusercontent.com/scl/fi/vwsublazxv428c8dl9bgo/123723t77543.jpg?rlkey=6486diz0zt7hx9zhsxwn5bpi3&amp;dl=0","Click to download Image")</f>
      </c>
      <c r="C785" s="0" t="inlineStr">
        <is>
          <t>Walt Toddler Long Sleeve</t>
        </is>
      </c>
      <c r="D785" s="1">
        <v>123826</v>
      </c>
      <c r="E785" s="0" t="inlineStr">
        <is>
          <t>IOWA WALT T CO:123826C-4T</t>
        </is>
      </c>
      <c r="F785" s="2">
        <v>800123826101</v>
      </c>
      <c r="G785" s="0" t="inlineStr">
        <is>
          <t>TODDLER</t>
        </is>
      </c>
      <c r="H785" s="0" t="inlineStr">
        <is>
          <t>4T</t>
        </is>
      </c>
      <c r="I785" s="0">
        <v>34.99</v>
      </c>
      <c r="J785" s="0">
        <v>5</v>
      </c>
    </row>
    <row r="786" spans="1:10" customHeight="0">
      <c r="A786" s="0">
        <f>HYPERLINK("https://dl.dropboxusercontent.com/scl/fi/vwsublazxv428c8dl9bgo/123723t77543.jpg?rlkey=6486diz0zt7hx9zhsxwn5bpi3&amp;dl=0","Click to download Image")</f>
      </c>
      <c r="C786" s="0" t="inlineStr">
        <is>
          <t>Walt Toddler Long Sleeve</t>
        </is>
      </c>
      <c r="D786" s="1">
        <v>123826</v>
      </c>
      <c r="E786" s="0" t="inlineStr">
        <is>
          <t>IOWA WALT T CO:123826D-5T</t>
        </is>
      </c>
      <c r="F786" s="2">
        <v>800123826118</v>
      </c>
      <c r="G786" s="0" t="inlineStr">
        <is>
          <t>TODDLER</t>
        </is>
      </c>
      <c r="H786" s="0" t="inlineStr">
        <is>
          <t>5T</t>
        </is>
      </c>
      <c r="I786" s="0">
        <v>34.99</v>
      </c>
      <c r="J786" s="0">
        <v>7</v>
      </c>
    </row>
    <row r="787" spans="1:10" customHeight="0">
      <c r="A787" s="0">
        <f>HYPERLINK("https://dl.dropboxusercontent.com/scl/fi/vwsublazxv428c8dl9bgo/123723t77543.jpg?rlkey=6486diz0zt7hx9zhsxwn5bpi3&amp;dl=0","Click to download Image")</f>
      </c>
      <c r="C787" s="0" t="inlineStr">
        <is>
          <t>Walt Toddler Long Sleeve</t>
        </is>
      </c>
      <c r="D787" s="1">
        <v>123826</v>
      </c>
      <c r="E787" s="0" t="inlineStr">
        <is>
          <t>IOWA WALT T CO 12PK:123826Z-12PK</t>
        </is>
      </c>
      <c r="F787" s="2">
        <v>800123826996</v>
      </c>
      <c r="G787" s="0" t="inlineStr">
        <is>
          <t>TODDLER</t>
        </is>
      </c>
      <c r="H787" s="0" t="inlineStr">
        <is>
          <t>12 PACK</t>
        </is>
      </c>
      <c r="I787" s="0">
        <v>336</v>
      </c>
      <c r="J787" s="0">
        <v>0</v>
      </c>
    </row>
    <row r="788" spans="1:10" customHeight="0">
      <c r="A788" s="0">
        <f>HYPERLINK("https://dl.dropboxusercontent.com/scl/fi/xihg3owca162f7gc1j82i/dsc0254edit.jpg?rlkey=d4823pkg7dp3e74ocoiqve1ye&amp;dl=0","Click to download Image")</f>
      </c>
      <c r="C788" s="0" t="inlineStr">
        <is>
          <t>Jade Youth Wool Vest</t>
        </is>
      </c>
      <c r="D788" s="1">
        <v>113493</v>
      </c>
      <c r="E788" s="0" t="inlineStr">
        <is>
          <t>IOWA JADE Y BLACK:113493B-YS</t>
        </is>
      </c>
      <c r="F788" s="2">
        <v>800113493016</v>
      </c>
      <c r="G788" s="0" t="inlineStr">
        <is>
          <t>YOUTH</t>
        </is>
      </c>
      <c r="H788" s="0" t="inlineStr">
        <is>
          <t>YS</t>
        </is>
      </c>
      <c r="I788" s="0">
        <v>49.99</v>
      </c>
      <c r="J788" s="0">
        <v>3</v>
      </c>
    </row>
    <row r="789" spans="1:10" customHeight="0">
      <c r="A789" s="0">
        <f>HYPERLINK("https://dl.dropboxusercontent.com/scl/fi/xihg3owca162f7gc1j82i/dsc0254edit.jpg?rlkey=d4823pkg7dp3e74ocoiqve1ye&amp;dl=0","Click to download Image")</f>
      </c>
      <c r="C789" s="0" t="inlineStr">
        <is>
          <t>Jade Youth Wool Vest</t>
        </is>
      </c>
      <c r="D789" s="1">
        <v>113493</v>
      </c>
      <c r="E789" s="0" t="inlineStr">
        <is>
          <t>IOWA JADE Y BLACK:113493C-YM</t>
        </is>
      </c>
      <c r="F789" s="2">
        <v>800113493023</v>
      </c>
      <c r="G789" s="0" t="inlineStr">
        <is>
          <t>YOUTH</t>
        </is>
      </c>
      <c r="H789" s="0" t="inlineStr">
        <is>
          <t>YM</t>
        </is>
      </c>
      <c r="I789" s="0">
        <v>49.99</v>
      </c>
      <c r="J789" s="0">
        <v>3</v>
      </c>
    </row>
    <row r="790" spans="1:10" customHeight="0">
      <c r="A790" s="0">
        <f>HYPERLINK("https://dl.dropboxusercontent.com/scl/fi/xihg3owca162f7gc1j82i/dsc0254edit.jpg?rlkey=d4823pkg7dp3e74ocoiqve1ye&amp;dl=0","Click to download Image")</f>
      </c>
      <c r="C790" s="0" t="inlineStr">
        <is>
          <t>Jade Youth Wool Vest</t>
        </is>
      </c>
      <c r="D790" s="1">
        <v>113493</v>
      </c>
      <c r="E790" s="0" t="inlineStr">
        <is>
          <t>IOWA JADE Y BLACK:113493D-YL</t>
        </is>
      </c>
      <c r="F790" s="2">
        <v>800113493030</v>
      </c>
      <c r="G790" s="0" t="inlineStr">
        <is>
          <t>YOUTH</t>
        </is>
      </c>
      <c r="H790" s="0" t="inlineStr">
        <is>
          <t>YL</t>
        </is>
      </c>
      <c r="I790" s="0">
        <v>49.99</v>
      </c>
      <c r="J790" s="0">
        <v>5</v>
      </c>
    </row>
    <row r="791" spans="1:10" customHeight="0">
      <c r="A791" s="0">
        <f>HYPERLINK("https://dl.dropboxusercontent.com/scl/fi/xihg3owca162f7gc1j82i/dsc0254edit.jpg?rlkey=d4823pkg7dp3e74ocoiqve1ye&amp;dl=0","Click to download Image")</f>
      </c>
      <c r="C791" s="0" t="inlineStr">
        <is>
          <t>Jade Youth Wool Vest</t>
        </is>
      </c>
      <c r="D791" s="1">
        <v>113493</v>
      </c>
      <c r="E791" s="0" t="inlineStr">
        <is>
          <t>IOWA JADE Y BLACK:113493E-YXL</t>
        </is>
      </c>
      <c r="F791" s="2">
        <v>800113493047</v>
      </c>
      <c r="G791" s="0" t="inlineStr">
        <is>
          <t>YOUTH</t>
        </is>
      </c>
      <c r="H791" s="0" t="inlineStr">
        <is>
          <t>YXL</t>
        </is>
      </c>
      <c r="I791" s="0">
        <v>49.99</v>
      </c>
      <c r="J791" s="0">
        <v>3</v>
      </c>
    </row>
    <row r="792" spans="1:10" customHeight="0">
      <c r="A792" s="0">
        <f>HYPERLINK("https://dl.dropboxusercontent.com/scl/fi/xihg3owca162f7gc1j82i/dsc0254edit.jpg?rlkey=d4823pkg7dp3e74ocoiqve1ye&amp;dl=0","Click to download Image")</f>
      </c>
      <c r="C792" s="0" t="inlineStr">
        <is>
          <t>Jade Youth Wool Vest</t>
        </is>
      </c>
      <c r="D792" s="1">
        <v>113493</v>
      </c>
      <c r="E792" s="0" t="inlineStr">
        <is>
          <t>IOWA JADE Y BLACK 12 PACK:113493Z-12PK</t>
        </is>
      </c>
      <c r="F792" s="2">
        <v>800113493993</v>
      </c>
      <c r="G792" s="0" t="inlineStr">
        <is>
          <t>YOUTH</t>
        </is>
      </c>
      <c r="H792" s="0" t="inlineStr">
        <is>
          <t>12 PACK</t>
        </is>
      </c>
      <c r="I792" s="0">
        <v>480</v>
      </c>
      <c r="J792" s="0">
        <v>0</v>
      </c>
    </row>
    <row r="793" spans="1:10" customHeight="0">
      <c r="A793" s="0">
        <f>HYPERLINK("https://dl.dropboxusercontent.com/scl/fi/ozaozmc1s2gdeyfxj3d4m/omar.jpg?rlkey=b4k2cnt84rs0535tpfs9no0h0&amp;dl=0","Click to download Image")</f>
      </c>
      <c r="B793" s="0">
        <f>HYPERLINK("https://dl.dropboxusercontent.com/scl/fi/lkwz9vequ5dy4gx9li2xt/mens-pullover-size-chartsomar.jpg?rlkey=tjbn63pc0c5d5ifqy1jr6gt99&amp;dl=0","Click to download SizeChart")</f>
      </c>
      <c r="C793" s="0" t="inlineStr">
        <is>
          <t>Omar Men's Pullover</t>
        </is>
      </c>
      <c r="D793" s="1">
        <v>123771</v>
      </c>
      <c r="E793" s="0" t="inlineStr">
        <is>
          <t>IOWA OMAR M CO:123771A-S</t>
        </is>
      </c>
      <c r="F793" s="2">
        <v>800123771043</v>
      </c>
      <c r="G793" s="0" t="inlineStr">
        <is>
          <t>MENS</t>
        </is>
      </c>
      <c r="H793" s="0" t="inlineStr">
        <is>
          <t>S</t>
        </is>
      </c>
      <c r="I793" s="0">
        <v>59.99</v>
      </c>
      <c r="J793" s="0">
        <v>2</v>
      </c>
    </row>
    <row r="794" spans="1:10" customHeight="0">
      <c r="A794" s="0">
        <f>HYPERLINK("https://dl.dropboxusercontent.com/scl/fi/ozaozmc1s2gdeyfxj3d4m/omar.jpg?rlkey=b4k2cnt84rs0535tpfs9no0h0&amp;dl=0","Click to download Image")</f>
      </c>
      <c r="B794" s="0">
        <f>HYPERLINK("https://dl.dropboxusercontent.com/scl/fi/lkwz9vequ5dy4gx9li2xt/mens-pullover-size-chartsomar.jpg?rlkey=tjbn63pc0c5d5ifqy1jr6gt99&amp;dl=0","Click to download SizeChart")</f>
      </c>
      <c r="C794" s="0" t="inlineStr">
        <is>
          <t>Omar Men's Pullover</t>
        </is>
      </c>
      <c r="D794" s="1">
        <v>123771</v>
      </c>
      <c r="E794" s="0" t="inlineStr">
        <is>
          <t>IOWA OMAR M CO:123771B-M</t>
        </is>
      </c>
      <c r="F794" s="2">
        <v>800123771050</v>
      </c>
      <c r="G794" s="0" t="inlineStr">
        <is>
          <t>MENS</t>
        </is>
      </c>
      <c r="H794" s="0" t="inlineStr">
        <is>
          <t>M</t>
        </is>
      </c>
      <c r="I794" s="0">
        <v>59.99</v>
      </c>
      <c r="J794" s="0">
        <v>6</v>
      </c>
    </row>
    <row r="795" spans="1:10" customHeight="0">
      <c r="A795" s="0">
        <f>HYPERLINK("https://dl.dropboxusercontent.com/scl/fi/ozaozmc1s2gdeyfxj3d4m/omar.jpg?rlkey=b4k2cnt84rs0535tpfs9no0h0&amp;dl=0","Click to download Image")</f>
      </c>
      <c r="B795" s="0">
        <f>HYPERLINK("https://dl.dropboxusercontent.com/scl/fi/lkwz9vequ5dy4gx9li2xt/mens-pullover-size-chartsomar.jpg?rlkey=tjbn63pc0c5d5ifqy1jr6gt99&amp;dl=0","Click to download SizeChart")</f>
      </c>
      <c r="C795" s="0" t="inlineStr">
        <is>
          <t>Omar Men's Pullover</t>
        </is>
      </c>
      <c r="D795" s="1">
        <v>123771</v>
      </c>
      <c r="E795" s="0" t="inlineStr">
        <is>
          <t>IOWA OMAR M CO:123771C-L</t>
        </is>
      </c>
      <c r="F795" s="2">
        <v>800123771067</v>
      </c>
      <c r="G795" s="0" t="inlineStr">
        <is>
          <t>MENS</t>
        </is>
      </c>
      <c r="H795" s="0" t="inlineStr">
        <is>
          <t>L</t>
        </is>
      </c>
      <c r="I795" s="0">
        <v>59.99</v>
      </c>
      <c r="J795" s="0">
        <v>3</v>
      </c>
    </row>
    <row r="796" spans="1:10" customHeight="0">
      <c r="A796" s="0">
        <f>HYPERLINK("https://dl.dropboxusercontent.com/scl/fi/ozaozmc1s2gdeyfxj3d4m/omar.jpg?rlkey=b4k2cnt84rs0535tpfs9no0h0&amp;dl=0","Click to download Image")</f>
      </c>
      <c r="B796" s="0">
        <f>HYPERLINK("https://dl.dropboxusercontent.com/scl/fi/lkwz9vequ5dy4gx9li2xt/mens-pullover-size-chartsomar.jpg?rlkey=tjbn63pc0c5d5ifqy1jr6gt99&amp;dl=0","Click to download SizeChart")</f>
      </c>
      <c r="C796" s="0" t="inlineStr">
        <is>
          <t>Omar Men's Pullover</t>
        </is>
      </c>
      <c r="D796" s="1">
        <v>123771</v>
      </c>
      <c r="E796" s="0" t="inlineStr">
        <is>
          <t>IOWA OMAR M CO:123771D-XL</t>
        </is>
      </c>
      <c r="F796" s="2">
        <v>800123771074</v>
      </c>
      <c r="G796" s="0" t="inlineStr">
        <is>
          <t>MENS</t>
        </is>
      </c>
      <c r="H796" s="0" t="inlineStr">
        <is>
          <t>XL</t>
        </is>
      </c>
      <c r="I796" s="0">
        <v>59.99</v>
      </c>
      <c r="J796" s="0">
        <v>7</v>
      </c>
    </row>
    <row r="797" spans="1:10" customHeight="0">
      <c r="A797" s="0">
        <f>HYPERLINK("https://dl.dropboxusercontent.com/scl/fi/ozaozmc1s2gdeyfxj3d4m/omar.jpg?rlkey=b4k2cnt84rs0535tpfs9no0h0&amp;dl=0","Click to download Image")</f>
      </c>
      <c r="B797" s="0">
        <f>HYPERLINK("https://dl.dropboxusercontent.com/scl/fi/lkwz9vequ5dy4gx9li2xt/mens-pullover-size-chartsomar.jpg?rlkey=tjbn63pc0c5d5ifqy1jr6gt99&amp;dl=0","Click to download SizeChart")</f>
      </c>
      <c r="C797" s="0" t="inlineStr">
        <is>
          <t>Omar Men's Pullover</t>
        </is>
      </c>
      <c r="D797" s="1">
        <v>123771</v>
      </c>
      <c r="E797" s="0" t="inlineStr">
        <is>
          <t>IOWA OMAR M CO:123771E-2XL</t>
        </is>
      </c>
      <c r="F797" s="2">
        <v>800123771081</v>
      </c>
      <c r="G797" s="0" t="inlineStr">
        <is>
          <t>MENS</t>
        </is>
      </c>
      <c r="H797" s="0" t="inlineStr">
        <is>
          <t>2XL</t>
        </is>
      </c>
      <c r="I797" s="0">
        <v>59.99</v>
      </c>
      <c r="J797" s="0">
        <v>9</v>
      </c>
    </row>
    <row r="798" spans="1:10" customHeight="0">
      <c r="A798" s="0">
        <f>HYPERLINK("https://dl.dropboxusercontent.com/scl/fi/ozaozmc1s2gdeyfxj3d4m/omar.jpg?rlkey=b4k2cnt84rs0535tpfs9no0h0&amp;dl=0","Click to download Image")</f>
      </c>
      <c r="B798" s="0">
        <f>HYPERLINK("https://dl.dropboxusercontent.com/scl/fi/lkwz9vequ5dy4gx9li2xt/mens-pullover-size-chartsomar.jpg?rlkey=tjbn63pc0c5d5ifqy1jr6gt99&amp;dl=0","Click to download SizeChart")</f>
      </c>
      <c r="C798" s="0" t="inlineStr">
        <is>
          <t>Omar Men's Pullover</t>
        </is>
      </c>
      <c r="D798" s="1">
        <v>123771</v>
      </c>
      <c r="E798" s="0" t="inlineStr">
        <is>
          <t>IOWA OMAR M CO:123771F-3XL</t>
        </is>
      </c>
      <c r="F798" s="2">
        <v>800123771098</v>
      </c>
      <c r="G798" s="0" t="inlineStr">
        <is>
          <t>MENS</t>
        </is>
      </c>
      <c r="H798" s="0" t="inlineStr">
        <is>
          <t>3XL</t>
        </is>
      </c>
      <c r="I798" s="0">
        <v>59.99</v>
      </c>
      <c r="J798" s="0">
        <v>6</v>
      </c>
    </row>
    <row r="799" spans="1:10" customHeight="0">
      <c r="A799" s="0">
        <f>HYPERLINK("https://dl.dropboxusercontent.com/scl/fi/ozaozmc1s2gdeyfxj3d4m/omar.jpg?rlkey=b4k2cnt84rs0535tpfs9no0h0&amp;dl=0","Click to download Image")</f>
      </c>
      <c r="B799" s="0">
        <f>HYPERLINK("https://dl.dropboxusercontent.com/scl/fi/lkwz9vequ5dy4gx9li2xt/mens-pullover-size-chartsomar.jpg?rlkey=tjbn63pc0c5d5ifqy1jr6gt99&amp;dl=0","Click to download SizeChart")</f>
      </c>
      <c r="C799" s="0" t="inlineStr">
        <is>
          <t>Omar Men's Pullover</t>
        </is>
      </c>
      <c r="D799" s="1">
        <v>123771</v>
      </c>
      <c r="E799" s="0" t="inlineStr">
        <is>
          <t>IOWA OMAR M CO 12PK:123771Z-12PK</t>
        </is>
      </c>
      <c r="F799" s="2">
        <v>800123771999</v>
      </c>
      <c r="G799" s="0" t="inlineStr">
        <is>
          <t>MENS</t>
        </is>
      </c>
      <c r="H799" s="0" t="inlineStr">
        <is>
          <t>12 PACK</t>
        </is>
      </c>
      <c r="I799" s="0">
        <v>582</v>
      </c>
      <c r="J799" s="0">
        <v>0</v>
      </c>
    </row>
    <row r="800" spans="1:10" customHeight="0">
      <c r="A800" s="0">
        <f>HYPERLINK("https://dl.dropboxusercontent.com/scl/fi/xy30hncpcqykmwyp7a036/125334t.jpg?rlkey=xiavd7bteunss6igapfsqo397&amp;dl=0","Click to download Image")</f>
      </c>
      <c r="B800" s="0">
        <f>HYPERLINK("https://dl.dropboxusercontent.com/scl/fi/9sjz9uub37q2m45ck34vq/mens-pullover-size-chartstaft.jpg?rlkey=rtrmcth2nhyopykqybu6y53wi&amp;dl=0","Click to download SizeChart")</f>
      </c>
      <c r="C800" s="0" t="inlineStr">
        <is>
          <t>Taft Men's Pullover</t>
        </is>
      </c>
      <c r="D800" s="1">
        <v>125334</v>
      </c>
      <c r="E800" s="0" t="inlineStr">
        <is>
          <t>IOWA TAFT M BK:125334A-S</t>
        </is>
      </c>
      <c r="F800" s="2">
        <v>800125334048</v>
      </c>
      <c r="G800" s="0" t="inlineStr">
        <is>
          <t>MENS</t>
        </is>
      </c>
      <c r="H800" s="0" t="inlineStr">
        <is>
          <t>S</t>
        </is>
      </c>
      <c r="I800" s="0">
        <v>59.99</v>
      </c>
      <c r="J800" s="0">
        <v>2</v>
      </c>
    </row>
    <row r="801" spans="1:10" customHeight="0">
      <c r="A801" s="0">
        <f>HYPERLINK("https://dl.dropboxusercontent.com/scl/fi/xy30hncpcqykmwyp7a036/125334t.jpg?rlkey=xiavd7bteunss6igapfsqo397&amp;dl=0","Click to download Image")</f>
      </c>
      <c r="B801" s="0">
        <f>HYPERLINK("https://dl.dropboxusercontent.com/scl/fi/9sjz9uub37q2m45ck34vq/mens-pullover-size-chartstaft.jpg?rlkey=rtrmcth2nhyopykqybu6y53wi&amp;dl=0","Click to download SizeChart")</f>
      </c>
      <c r="C801" s="0" t="inlineStr">
        <is>
          <t>Taft Men's Pullover</t>
        </is>
      </c>
      <c r="D801" s="1">
        <v>125334</v>
      </c>
      <c r="E801" s="0" t="inlineStr">
        <is>
          <t>IOWA TAFT M BK:125334B-M</t>
        </is>
      </c>
      <c r="F801" s="2">
        <v>800125334055</v>
      </c>
      <c r="G801" s="0" t="inlineStr">
        <is>
          <t>MENS</t>
        </is>
      </c>
      <c r="H801" s="0" t="inlineStr">
        <is>
          <t>M</t>
        </is>
      </c>
      <c r="I801" s="0">
        <v>59.99</v>
      </c>
      <c r="J801" s="0">
        <v>1</v>
      </c>
    </row>
    <row r="802" spans="1:10" customHeight="0">
      <c r="A802" s="0">
        <f>HYPERLINK("https://dl.dropboxusercontent.com/scl/fi/xy30hncpcqykmwyp7a036/125334t.jpg?rlkey=xiavd7bteunss6igapfsqo397&amp;dl=0","Click to download Image")</f>
      </c>
      <c r="B802" s="0">
        <f>HYPERLINK("https://dl.dropboxusercontent.com/scl/fi/9sjz9uub37q2m45ck34vq/mens-pullover-size-chartstaft.jpg?rlkey=rtrmcth2nhyopykqybu6y53wi&amp;dl=0","Click to download SizeChart")</f>
      </c>
      <c r="C802" s="0" t="inlineStr">
        <is>
          <t>Taft Men's Pullover</t>
        </is>
      </c>
      <c r="D802" s="1">
        <v>125334</v>
      </c>
      <c r="E802" s="0" t="inlineStr">
        <is>
          <t>IOWA TAFT M BK:125334C-L</t>
        </is>
      </c>
      <c r="F802" s="2">
        <v>800125334062</v>
      </c>
      <c r="G802" s="0" t="inlineStr">
        <is>
          <t>MENS</t>
        </is>
      </c>
      <c r="H802" s="0" t="inlineStr">
        <is>
          <t>L</t>
        </is>
      </c>
      <c r="I802" s="0">
        <v>59.99</v>
      </c>
      <c r="J802" s="0">
        <v>0</v>
      </c>
    </row>
    <row r="803" spans="1:10" customHeight="0">
      <c r="A803" s="0">
        <f>HYPERLINK("https://dl.dropboxusercontent.com/scl/fi/xy30hncpcqykmwyp7a036/125334t.jpg?rlkey=xiavd7bteunss6igapfsqo397&amp;dl=0","Click to download Image")</f>
      </c>
      <c r="B803" s="0">
        <f>HYPERLINK("https://dl.dropboxusercontent.com/scl/fi/9sjz9uub37q2m45ck34vq/mens-pullover-size-chartstaft.jpg?rlkey=rtrmcth2nhyopykqybu6y53wi&amp;dl=0","Click to download SizeChart")</f>
      </c>
      <c r="C803" s="0" t="inlineStr">
        <is>
          <t>Taft Men's Pullover</t>
        </is>
      </c>
      <c r="D803" s="1">
        <v>125334</v>
      </c>
      <c r="E803" s="0" t="inlineStr">
        <is>
          <t>IOWA TAFT M BK:125334D-XL</t>
        </is>
      </c>
      <c r="F803" s="2">
        <v>800125334079</v>
      </c>
      <c r="G803" s="0" t="inlineStr">
        <is>
          <t>MENS</t>
        </is>
      </c>
      <c r="H803" s="0" t="inlineStr">
        <is>
          <t>XL</t>
        </is>
      </c>
      <c r="I803" s="0">
        <v>59.99</v>
      </c>
      <c r="J803" s="0">
        <v>0</v>
      </c>
    </row>
    <row r="804" spans="1:10" customHeight="0">
      <c r="A804" s="0">
        <f>HYPERLINK("https://dl.dropboxusercontent.com/scl/fi/xy30hncpcqykmwyp7a036/125334t.jpg?rlkey=xiavd7bteunss6igapfsqo397&amp;dl=0","Click to download Image")</f>
      </c>
      <c r="B804" s="0">
        <f>HYPERLINK("https://dl.dropboxusercontent.com/scl/fi/9sjz9uub37q2m45ck34vq/mens-pullover-size-chartstaft.jpg?rlkey=rtrmcth2nhyopykqybu6y53wi&amp;dl=0","Click to download SizeChart")</f>
      </c>
      <c r="C804" s="0" t="inlineStr">
        <is>
          <t>Taft Men's Pullover</t>
        </is>
      </c>
      <c r="D804" s="1">
        <v>125334</v>
      </c>
      <c r="E804" s="0" t="inlineStr">
        <is>
          <t>IOWA TAFT M BK:125334E-2XL</t>
        </is>
      </c>
      <c r="F804" s="2">
        <v>800125334086</v>
      </c>
      <c r="G804" s="0" t="inlineStr">
        <is>
          <t>MENS</t>
        </is>
      </c>
      <c r="H804" s="0" t="inlineStr">
        <is>
          <t>2XL</t>
        </is>
      </c>
      <c r="I804" s="0">
        <v>59.99</v>
      </c>
      <c r="J804" s="0">
        <v>0</v>
      </c>
    </row>
    <row r="805" spans="1:10" customHeight="0">
      <c r="A805" s="0">
        <f>HYPERLINK("https://dl.dropboxusercontent.com/scl/fi/xy30hncpcqykmwyp7a036/125334t.jpg?rlkey=xiavd7bteunss6igapfsqo397&amp;dl=0","Click to download Image")</f>
      </c>
      <c r="B805" s="0">
        <f>HYPERLINK("https://dl.dropboxusercontent.com/scl/fi/9sjz9uub37q2m45ck34vq/mens-pullover-size-chartstaft.jpg?rlkey=rtrmcth2nhyopykqybu6y53wi&amp;dl=0","Click to download SizeChart")</f>
      </c>
      <c r="C805" s="0" t="inlineStr">
        <is>
          <t>Taft Men's Pullover</t>
        </is>
      </c>
      <c r="D805" s="1">
        <v>125334</v>
      </c>
      <c r="E805" s="0" t="inlineStr">
        <is>
          <t>IOWA TAFT M BK:125334F-3XL</t>
        </is>
      </c>
      <c r="F805" s="2">
        <v>800125334093</v>
      </c>
      <c r="G805" s="0" t="inlineStr">
        <is>
          <t>MENS</t>
        </is>
      </c>
      <c r="H805" s="0" t="inlineStr">
        <is>
          <t>3XL</t>
        </is>
      </c>
      <c r="I805" s="0">
        <v>59.99</v>
      </c>
      <c r="J805" s="0">
        <v>1</v>
      </c>
    </row>
    <row r="806" spans="1:10" customHeight="0">
      <c r="A806" s="0">
        <f>HYPERLINK("https://dl.dropboxusercontent.com/scl/fi/xy30hncpcqykmwyp7a036/125334t.jpg?rlkey=xiavd7bteunss6igapfsqo397&amp;dl=0","Click to download Image")</f>
      </c>
      <c r="B806" s="0">
        <f>HYPERLINK("https://dl.dropboxusercontent.com/scl/fi/9sjz9uub37q2m45ck34vq/mens-pullover-size-chartstaft.jpg?rlkey=rtrmcth2nhyopykqybu6y53wi&amp;dl=0","Click to download SizeChart")</f>
      </c>
      <c r="C806" s="0" t="inlineStr">
        <is>
          <t>Taft Men's Pullover</t>
        </is>
      </c>
      <c r="D806" s="1">
        <v>125334</v>
      </c>
      <c r="E806" s="0" t="inlineStr">
        <is>
          <t>IOWA TAFT M BK 12PK:125334Z-12PK</t>
        </is>
      </c>
      <c r="F806" s="2">
        <v>800125334994</v>
      </c>
      <c r="G806" s="0" t="inlineStr">
        <is>
          <t>MENS</t>
        </is>
      </c>
      <c r="H806" s="0" t="inlineStr">
        <is>
          <t>12 PACK</t>
        </is>
      </c>
      <c r="I806" s="0">
        <v>582</v>
      </c>
      <c r="J806" s="0">
        <v>0</v>
      </c>
    </row>
    <row r="807" spans="1:10" customHeight="0">
      <c r="A807" s="0">
        <f>HYPERLINK("https://dl.dropboxusercontent.com/scl/fi/tnbtzfo3omlith07b1zij/125418t.jpg?rlkey=20x4tasqn1g9t77vn72ks6dpi&amp;dl=0","Click to download Image")</f>
      </c>
      <c r="C807" s="0" t="inlineStr">
        <is>
          <t>Rand Youth Tank Top</t>
        </is>
      </c>
      <c r="D807" s="1">
        <v>125418</v>
      </c>
      <c r="E807" s="0" t="inlineStr">
        <is>
          <t>IOWA RAND Y BK:125418B-YS</t>
        </is>
      </c>
      <c r="F807" s="2">
        <v>800125418014</v>
      </c>
      <c r="G807" s="0" t="inlineStr">
        <is>
          <t>YOUTH</t>
        </is>
      </c>
      <c r="H807" s="0" t="inlineStr">
        <is>
          <t>YS</t>
        </is>
      </c>
      <c r="I807" s="0">
        <v>24.99</v>
      </c>
      <c r="J807" s="0">
        <v>8</v>
      </c>
    </row>
    <row r="808" spans="1:10" customHeight="0">
      <c r="A808" s="0">
        <f>HYPERLINK("https://dl.dropboxusercontent.com/scl/fi/tnbtzfo3omlith07b1zij/125418t.jpg?rlkey=20x4tasqn1g9t77vn72ks6dpi&amp;dl=0","Click to download Image")</f>
      </c>
      <c r="C808" s="0" t="inlineStr">
        <is>
          <t>Rand Youth Tank Top</t>
        </is>
      </c>
      <c r="D808" s="1">
        <v>125418</v>
      </c>
      <c r="E808" s="0" t="inlineStr">
        <is>
          <t>IOWA RAND Y BK:125418C-YM</t>
        </is>
      </c>
      <c r="F808" s="2">
        <v>800125418021</v>
      </c>
      <c r="G808" s="0" t="inlineStr">
        <is>
          <t>YOUTH</t>
        </is>
      </c>
      <c r="H808" s="0" t="inlineStr">
        <is>
          <t>YM</t>
        </is>
      </c>
      <c r="I808" s="0">
        <v>24.99</v>
      </c>
      <c r="J808" s="0">
        <v>7</v>
      </c>
    </row>
    <row r="809" spans="1:10" customHeight="0">
      <c r="A809" s="0">
        <f>HYPERLINK("https://dl.dropboxusercontent.com/scl/fi/tnbtzfo3omlith07b1zij/125418t.jpg?rlkey=20x4tasqn1g9t77vn72ks6dpi&amp;dl=0","Click to download Image")</f>
      </c>
      <c r="C809" s="0" t="inlineStr">
        <is>
          <t>Rand Youth Tank Top</t>
        </is>
      </c>
      <c r="D809" s="1">
        <v>125418</v>
      </c>
      <c r="E809" s="0" t="inlineStr">
        <is>
          <t>IOWA RAND Y BK:125418D-YL</t>
        </is>
      </c>
      <c r="F809" s="2">
        <v>800125418038</v>
      </c>
      <c r="G809" s="0" t="inlineStr">
        <is>
          <t>YOUTH</t>
        </is>
      </c>
      <c r="H809" s="0" t="inlineStr">
        <is>
          <t>YL</t>
        </is>
      </c>
      <c r="I809" s="0">
        <v>24.99</v>
      </c>
      <c r="J809" s="0">
        <v>7</v>
      </c>
    </row>
    <row r="810" spans="1:10" customHeight="0">
      <c r="A810" s="0">
        <f>HYPERLINK("https://dl.dropboxusercontent.com/scl/fi/tnbtzfo3omlith07b1zij/125418t.jpg?rlkey=20x4tasqn1g9t77vn72ks6dpi&amp;dl=0","Click to download Image")</f>
      </c>
      <c r="C810" s="0" t="inlineStr">
        <is>
          <t>Rand Youth Tank Top</t>
        </is>
      </c>
      <c r="D810" s="1">
        <v>125418</v>
      </c>
      <c r="E810" s="0" t="inlineStr">
        <is>
          <t>IOWA RAND Y BK:125418E-YXL</t>
        </is>
      </c>
      <c r="F810" s="2">
        <v>800125418045</v>
      </c>
      <c r="G810" s="0" t="inlineStr">
        <is>
          <t>YOUTH</t>
        </is>
      </c>
      <c r="H810" s="0" t="inlineStr">
        <is>
          <t>YXL</t>
        </is>
      </c>
      <c r="I810" s="0">
        <v>24.99</v>
      </c>
      <c r="J810" s="0">
        <v>7</v>
      </c>
    </row>
    <row r="811" spans="1:10" customHeight="0">
      <c r="A811" s="0">
        <f>HYPERLINK("https://dl.dropboxusercontent.com/scl/fi/tnbtzfo3omlith07b1zij/125418t.jpg?rlkey=20x4tasqn1g9t77vn72ks6dpi&amp;dl=0","Click to download Image")</f>
      </c>
      <c r="C811" s="0" t="inlineStr">
        <is>
          <t>Rand Youth Tank Top</t>
        </is>
      </c>
      <c r="D811" s="1">
        <v>125418</v>
      </c>
      <c r="E811" s="0" t="inlineStr">
        <is>
          <t>IOWA RAND Y BK 12PK:125418Z-12PK</t>
        </is>
      </c>
      <c r="F811" s="2">
        <v>800125418991</v>
      </c>
      <c r="G811" s="0" t="inlineStr">
        <is>
          <t>YOUTH</t>
        </is>
      </c>
      <c r="H811" s="0" t="inlineStr">
        <is>
          <t>12 PACK</t>
        </is>
      </c>
      <c r="I811" s="0">
        <v>240</v>
      </c>
      <c r="J811" s="0">
        <v>0</v>
      </c>
    </row>
    <row r="812" spans="1:10" customHeight="0">
      <c r="A812" s="0">
        <f>HYPERLINK("https://dl.dropboxusercontent.com/scl/fi/5god633fwikkjarecc8e1/126933t.jpg?rlkey=gyrd4nx6t44phps5a0nxh2l5x&amp;dl=0","Click to download Image")</f>
      </c>
      <c r="C812" s="0" t="inlineStr">
        <is>
          <t>Rand Toddler Tank Top</t>
        </is>
      </c>
      <c r="D812" s="1">
        <v>126933</v>
      </c>
      <c r="E812" s="0" t="inlineStr">
        <is>
          <t>IOWA RAND T BK:126933A-2T</t>
        </is>
      </c>
      <c r="F812" s="2">
        <v>800126933080</v>
      </c>
      <c r="G812" s="0" t="inlineStr">
        <is>
          <t>TODDLER</t>
        </is>
      </c>
      <c r="H812" s="0" t="inlineStr">
        <is>
          <t>2T</t>
        </is>
      </c>
      <c r="I812" s="0">
        <v>24.99</v>
      </c>
      <c r="J812" s="0">
        <v>9</v>
      </c>
    </row>
    <row r="813" spans="1:10" customHeight="0">
      <c r="A813" s="0">
        <f>HYPERLINK("https://dl.dropboxusercontent.com/scl/fi/5god633fwikkjarecc8e1/126933t.jpg?rlkey=gyrd4nx6t44phps5a0nxh2l5x&amp;dl=0","Click to download Image")</f>
      </c>
      <c r="C813" s="0" t="inlineStr">
        <is>
          <t>Rand Toddler Tank Top</t>
        </is>
      </c>
      <c r="D813" s="1">
        <v>126933</v>
      </c>
      <c r="E813" s="0" t="inlineStr">
        <is>
          <t>IOWA RAND T BK:126933B-3T</t>
        </is>
      </c>
      <c r="F813" s="2">
        <v>800126933097</v>
      </c>
      <c r="G813" s="0" t="inlineStr">
        <is>
          <t>TODDLER</t>
        </is>
      </c>
      <c r="H813" s="0" t="inlineStr">
        <is>
          <t>3T</t>
        </is>
      </c>
      <c r="I813" s="0">
        <v>24.99</v>
      </c>
      <c r="J813" s="0">
        <v>11</v>
      </c>
    </row>
    <row r="814" spans="1:10" customHeight="0">
      <c r="A814" s="0">
        <f>HYPERLINK("https://dl.dropboxusercontent.com/scl/fi/5god633fwikkjarecc8e1/126933t.jpg?rlkey=gyrd4nx6t44phps5a0nxh2l5x&amp;dl=0","Click to download Image")</f>
      </c>
      <c r="C814" s="0" t="inlineStr">
        <is>
          <t>Rand Toddler Tank Top</t>
        </is>
      </c>
      <c r="D814" s="1">
        <v>126933</v>
      </c>
      <c r="E814" s="0" t="inlineStr">
        <is>
          <t>IOWA RAND T BK:126933C-4T</t>
        </is>
      </c>
      <c r="F814" s="2">
        <v>800126933103</v>
      </c>
      <c r="G814" s="0" t="inlineStr">
        <is>
          <t>TODDLER</t>
        </is>
      </c>
      <c r="H814" s="0" t="inlineStr">
        <is>
          <t>4T</t>
        </is>
      </c>
      <c r="I814" s="0">
        <v>24.99</v>
      </c>
      <c r="J814" s="0">
        <v>10</v>
      </c>
    </row>
    <row r="815" spans="1:10" customHeight="0">
      <c r="A815" s="0">
        <f>HYPERLINK("https://dl.dropboxusercontent.com/scl/fi/5god633fwikkjarecc8e1/126933t.jpg?rlkey=gyrd4nx6t44phps5a0nxh2l5x&amp;dl=0","Click to download Image")</f>
      </c>
      <c r="C815" s="0" t="inlineStr">
        <is>
          <t>Rand Toddler Tank Top</t>
        </is>
      </c>
      <c r="D815" s="1">
        <v>126933</v>
      </c>
      <c r="E815" s="0" t="inlineStr">
        <is>
          <t>IOWA RAND T BK:126933D-5T</t>
        </is>
      </c>
      <c r="F815" s="2">
        <v>800126933110</v>
      </c>
      <c r="G815" s="0" t="inlineStr">
        <is>
          <t>TODDLER</t>
        </is>
      </c>
      <c r="H815" s="0" t="inlineStr">
        <is>
          <t>5T</t>
        </is>
      </c>
      <c r="I815" s="0">
        <v>24.99</v>
      </c>
      <c r="J815" s="0">
        <v>10</v>
      </c>
    </row>
    <row r="816" spans="1:10" customHeight="0">
      <c r="A816" s="0">
        <f>HYPERLINK("https://dl.dropboxusercontent.com/scl/fi/5god633fwikkjarecc8e1/126933t.jpg?rlkey=gyrd4nx6t44phps5a0nxh2l5x&amp;dl=0","Click to download Image")</f>
      </c>
      <c r="C816" s="0" t="inlineStr">
        <is>
          <t>Rand Toddler Tank Top</t>
        </is>
      </c>
      <c r="D816" s="1">
        <v>126933</v>
      </c>
      <c r="E816" s="0" t="inlineStr">
        <is>
          <t>IOWA RAND T BK 12PK:126933Z-12PK</t>
        </is>
      </c>
      <c r="F816" s="2">
        <v>800126933998</v>
      </c>
      <c r="G816" s="0" t="inlineStr">
        <is>
          <t>TODDLER</t>
        </is>
      </c>
      <c r="H816" s="0" t="inlineStr">
        <is>
          <t>12 PACK</t>
        </is>
      </c>
      <c r="I816" s="0">
        <v>240</v>
      </c>
      <c r="J816" s="0">
        <v>0</v>
      </c>
    </row>
    <row r="817" spans="1:10" customHeight="0">
      <c r="A817" s="0">
        <f>HYPERLINK("https://dl.dropboxusercontent.com/scl/fi/kbnorouxlg4bxh5i6cvzd/124670t.jpg?rlkey=eqp9t8jq3swony2mx1y9phu9t&amp;dl=0","Click to download Image")</f>
      </c>
      <c r="C817" s="0" t="inlineStr">
        <is>
          <t>Ivah Infant Long Sleeve</t>
        </is>
      </c>
      <c r="D817" s="1">
        <v>124670</v>
      </c>
      <c r="E817" s="0" t="inlineStr">
        <is>
          <t>IOWA IVAH I GY:124670A-0-3M</t>
        </is>
      </c>
      <c r="F817" s="2">
        <v>800124670000</v>
      </c>
      <c r="G817" s="0" t="inlineStr">
        <is>
          <t>INFANT</t>
        </is>
      </c>
      <c r="H817" s="0" t="inlineStr">
        <is>
          <t>0-3M</t>
        </is>
      </c>
      <c r="I817" s="0">
        <v>29.99</v>
      </c>
      <c r="J817" s="0">
        <v>1</v>
      </c>
    </row>
    <row r="818" spans="1:10" customHeight="0">
      <c r="A818" s="0">
        <f>HYPERLINK("https://dl.dropboxusercontent.com/scl/fi/kbnorouxlg4bxh5i6cvzd/124670t.jpg?rlkey=eqp9t8jq3swony2mx1y9phu9t&amp;dl=0","Click to download Image")</f>
      </c>
      <c r="C818" s="0" t="inlineStr">
        <is>
          <t>Ivah Infant Long Sleeve</t>
        </is>
      </c>
      <c r="D818" s="1">
        <v>124670</v>
      </c>
      <c r="E818" s="0" t="inlineStr">
        <is>
          <t>IOWA IVAH I GY:124670B-3-6M</t>
        </is>
      </c>
      <c r="F818" s="2">
        <v>800124670017</v>
      </c>
      <c r="G818" s="0" t="inlineStr">
        <is>
          <t>INFANT</t>
        </is>
      </c>
      <c r="H818" s="0" t="inlineStr">
        <is>
          <t>3-6M</t>
        </is>
      </c>
      <c r="I818" s="0">
        <v>29.99</v>
      </c>
      <c r="J818" s="0">
        <v>0</v>
      </c>
    </row>
    <row r="819" spans="1:10" customHeight="0">
      <c r="A819" s="0">
        <f>HYPERLINK("https://dl.dropboxusercontent.com/scl/fi/kbnorouxlg4bxh5i6cvzd/124670t.jpg?rlkey=eqp9t8jq3swony2mx1y9phu9t&amp;dl=0","Click to download Image")</f>
      </c>
      <c r="C819" s="0" t="inlineStr">
        <is>
          <t>Ivah Infant Long Sleeve</t>
        </is>
      </c>
      <c r="D819" s="1">
        <v>124670</v>
      </c>
      <c r="E819" s="0" t="inlineStr">
        <is>
          <t>IOWA IVAH I GY:124670C-6-9M</t>
        </is>
      </c>
      <c r="F819" s="2">
        <v>800124670024</v>
      </c>
      <c r="G819" s="0" t="inlineStr">
        <is>
          <t>INFANT</t>
        </is>
      </c>
      <c r="H819" s="0" t="inlineStr">
        <is>
          <t>6-9M</t>
        </is>
      </c>
      <c r="I819" s="0">
        <v>29.99</v>
      </c>
      <c r="J819" s="0">
        <v>1</v>
      </c>
    </row>
    <row r="820" spans="1:10" customHeight="0">
      <c r="A820" s="0">
        <f>HYPERLINK("https://dl.dropboxusercontent.com/scl/fi/kbnorouxlg4bxh5i6cvzd/124670t.jpg?rlkey=eqp9t8jq3swony2mx1y9phu9t&amp;dl=0","Click to download Image")</f>
      </c>
      <c r="C820" s="0" t="inlineStr">
        <is>
          <t>Ivah Infant Long Sleeve</t>
        </is>
      </c>
      <c r="D820" s="1">
        <v>124670</v>
      </c>
      <c r="E820" s="0" t="inlineStr">
        <is>
          <t>IOWA IVAH I GY:124670F-12M</t>
        </is>
      </c>
      <c r="F820" s="2">
        <v>800124670031</v>
      </c>
      <c r="G820" s="0" t="inlineStr">
        <is>
          <t>INFANT</t>
        </is>
      </c>
      <c r="H820" s="0" t="inlineStr">
        <is>
          <t>12M</t>
        </is>
      </c>
      <c r="I820" s="0">
        <v>29.99</v>
      </c>
      <c r="J820" s="0">
        <v>0</v>
      </c>
    </row>
    <row r="821" spans="1:10" customHeight="0">
      <c r="A821" s="0">
        <f>HYPERLINK("https://dl.dropboxusercontent.com/scl/fi/kbnorouxlg4bxh5i6cvzd/124670t.jpg?rlkey=eqp9t8jq3swony2mx1y9phu9t&amp;dl=0","Click to download Image")</f>
      </c>
      <c r="C821" s="0" t="inlineStr">
        <is>
          <t>Ivah Infant Long Sleeve</t>
        </is>
      </c>
      <c r="D821" s="1">
        <v>124670</v>
      </c>
      <c r="E821" s="0" t="inlineStr">
        <is>
          <t>IOWA IVAH I GY 12PK:124670Z-12PK</t>
        </is>
      </c>
      <c r="F821" s="2">
        <v>800124670994</v>
      </c>
      <c r="G821" s="0" t="inlineStr">
        <is>
          <t>INFANT</t>
        </is>
      </c>
      <c r="H821" s="0" t="inlineStr">
        <is>
          <t>12 PACK</t>
        </is>
      </c>
      <c r="I821" s="0">
        <v>288</v>
      </c>
      <c r="J821" s="0">
        <v>0</v>
      </c>
    </row>
    <row r="822" spans="1:10" customHeight="0">
      <c r="A822" s="0">
        <f>HYPERLINK("https://dl.dropboxusercontent.com/scl/fi/2i7o3bcwx86c1cvj90zjh/editdsc8457-copy.jpg?rlkey=810qw072fuo5kpw7ip7vrtfb3&amp;dl=0","Click to download Image")</f>
      </c>
      <c r="B822" s="0">
        <f>HYPERLINK("https://dl.dropboxusercontent.com/scl/fi/2mvsdzlyugqoxd73g2wrt/mens-t-shirt-size-chartsslate-cason.jpg?rlkey=4zo558j3r6dry3usl9iakfdpi&amp;dl=0","Click to download SizeChart")</f>
      </c>
      <c r="C822" s="0" t="inlineStr">
        <is>
          <t>Slate Men's Short Sleeve Shirt</t>
        </is>
      </c>
      <c r="D822" s="1">
        <v>150972</v>
      </c>
      <c r="E822" s="0" t="inlineStr">
        <is>
          <t>IOWA SLATE M GD:150972A-S</t>
        </is>
      </c>
      <c r="F822" s="2">
        <v>800150972048</v>
      </c>
      <c r="G822" s="0" t="inlineStr">
        <is>
          <t>MENS</t>
        </is>
      </c>
      <c r="H822" s="0" t="inlineStr">
        <is>
          <t>S</t>
        </is>
      </c>
      <c r="I822" s="0">
        <v>29.99</v>
      </c>
      <c r="J822" s="0">
        <v>0</v>
      </c>
    </row>
    <row r="823" spans="1:10" customHeight="0">
      <c r="A823" s="0">
        <f>HYPERLINK("https://dl.dropboxusercontent.com/scl/fi/2i7o3bcwx86c1cvj90zjh/editdsc8457-copy.jpg?rlkey=810qw072fuo5kpw7ip7vrtfb3&amp;dl=0","Click to download Image")</f>
      </c>
      <c r="B823" s="0">
        <f>HYPERLINK("https://dl.dropboxusercontent.com/scl/fi/2mvsdzlyugqoxd73g2wrt/mens-t-shirt-size-chartsslate-cason.jpg?rlkey=4zo558j3r6dry3usl9iakfdpi&amp;dl=0","Click to download SizeChart")</f>
      </c>
      <c r="C823" s="0" t="inlineStr">
        <is>
          <t>Slate Men's Short Sleeve Shirt</t>
        </is>
      </c>
      <c r="D823" s="1">
        <v>150972</v>
      </c>
      <c r="E823" s="0" t="inlineStr">
        <is>
          <t>IOWA SLATE M GD:150972B-M</t>
        </is>
      </c>
      <c r="F823" s="2">
        <v>800150972055</v>
      </c>
      <c r="G823" s="0" t="inlineStr">
        <is>
          <t>MENS</t>
        </is>
      </c>
      <c r="H823" s="0" t="inlineStr">
        <is>
          <t>M</t>
        </is>
      </c>
      <c r="I823" s="0">
        <v>29.99</v>
      </c>
      <c r="J823" s="0">
        <v>1</v>
      </c>
    </row>
    <row r="824" spans="1:10" customHeight="0">
      <c r="A824" s="0">
        <f>HYPERLINK("https://dl.dropboxusercontent.com/scl/fi/2i7o3bcwx86c1cvj90zjh/editdsc8457-copy.jpg?rlkey=810qw072fuo5kpw7ip7vrtfb3&amp;dl=0","Click to download Image")</f>
      </c>
      <c r="B824" s="0">
        <f>HYPERLINK("https://dl.dropboxusercontent.com/scl/fi/2mvsdzlyugqoxd73g2wrt/mens-t-shirt-size-chartsslate-cason.jpg?rlkey=4zo558j3r6dry3usl9iakfdpi&amp;dl=0","Click to download SizeChart")</f>
      </c>
      <c r="C824" s="0" t="inlineStr">
        <is>
          <t>Slate Men's Short Sleeve Shirt</t>
        </is>
      </c>
      <c r="D824" s="1">
        <v>150972</v>
      </c>
      <c r="E824" s="0" t="inlineStr">
        <is>
          <t>IOWA SLATE M GD:150972C-L</t>
        </is>
      </c>
      <c r="F824" s="2">
        <v>800150972062</v>
      </c>
      <c r="G824" s="0" t="inlineStr">
        <is>
          <t>MENS</t>
        </is>
      </c>
      <c r="H824" s="0" t="inlineStr">
        <is>
          <t>L</t>
        </is>
      </c>
      <c r="I824" s="0">
        <v>29.99</v>
      </c>
      <c r="J824" s="0">
        <v>0</v>
      </c>
    </row>
    <row r="825" spans="1:10" customHeight="0">
      <c r="A825" s="0">
        <f>HYPERLINK("https://dl.dropboxusercontent.com/scl/fi/2i7o3bcwx86c1cvj90zjh/editdsc8457-copy.jpg?rlkey=810qw072fuo5kpw7ip7vrtfb3&amp;dl=0","Click to download Image")</f>
      </c>
      <c r="B825" s="0">
        <f>HYPERLINK("https://dl.dropboxusercontent.com/scl/fi/2mvsdzlyugqoxd73g2wrt/mens-t-shirt-size-chartsslate-cason.jpg?rlkey=4zo558j3r6dry3usl9iakfdpi&amp;dl=0","Click to download SizeChart")</f>
      </c>
      <c r="C825" s="0" t="inlineStr">
        <is>
          <t>Slate Men's Short Sleeve Shirt</t>
        </is>
      </c>
      <c r="D825" s="1">
        <v>150972</v>
      </c>
      <c r="E825" s="0" t="inlineStr">
        <is>
          <t>IOWA SLATE M GD:150972D-XL</t>
        </is>
      </c>
      <c r="F825" s="2">
        <v>800150972079</v>
      </c>
      <c r="G825" s="0" t="inlineStr">
        <is>
          <t>MENS</t>
        </is>
      </c>
      <c r="H825" s="0" t="inlineStr">
        <is>
          <t>XL</t>
        </is>
      </c>
      <c r="I825" s="0">
        <v>29.99</v>
      </c>
      <c r="J825" s="0">
        <v>0</v>
      </c>
    </row>
    <row r="826" spans="1:10" customHeight="0">
      <c r="A826" s="0">
        <f>HYPERLINK("https://dl.dropboxusercontent.com/scl/fi/2i7o3bcwx86c1cvj90zjh/editdsc8457-copy.jpg?rlkey=810qw072fuo5kpw7ip7vrtfb3&amp;dl=0","Click to download Image")</f>
      </c>
      <c r="B826" s="0">
        <f>HYPERLINK("https://dl.dropboxusercontent.com/scl/fi/2mvsdzlyugqoxd73g2wrt/mens-t-shirt-size-chartsslate-cason.jpg?rlkey=4zo558j3r6dry3usl9iakfdpi&amp;dl=0","Click to download SizeChart")</f>
      </c>
      <c r="C826" s="0" t="inlineStr">
        <is>
          <t>Slate Men's Short Sleeve Shirt</t>
        </is>
      </c>
      <c r="D826" s="1">
        <v>150972</v>
      </c>
      <c r="E826" s="0" t="inlineStr">
        <is>
          <t>IOWA SLATE M GD:150972E-2XL</t>
        </is>
      </c>
      <c r="F826" s="2">
        <v>800150972086</v>
      </c>
      <c r="G826" s="0" t="inlineStr">
        <is>
          <t>MENS</t>
        </is>
      </c>
      <c r="H826" s="0" t="inlineStr">
        <is>
          <t>2XL</t>
        </is>
      </c>
      <c r="I826" s="0">
        <v>29.99</v>
      </c>
      <c r="J826" s="0">
        <v>0</v>
      </c>
    </row>
    <row r="827" spans="1:10" customHeight="0">
      <c r="A827" s="0">
        <f>HYPERLINK("https://dl.dropboxusercontent.com/scl/fi/2i7o3bcwx86c1cvj90zjh/editdsc8457-copy.jpg?rlkey=810qw072fuo5kpw7ip7vrtfb3&amp;dl=0","Click to download Image")</f>
      </c>
      <c r="B827" s="0">
        <f>HYPERLINK("https://dl.dropboxusercontent.com/scl/fi/2mvsdzlyugqoxd73g2wrt/mens-t-shirt-size-chartsslate-cason.jpg?rlkey=4zo558j3r6dry3usl9iakfdpi&amp;dl=0","Click to download SizeChart")</f>
      </c>
      <c r="C827" s="0" t="inlineStr">
        <is>
          <t>Slate Men's Short Sleeve Shirt</t>
        </is>
      </c>
      <c r="D827" s="1">
        <v>150972</v>
      </c>
      <c r="E827" s="0" t="inlineStr">
        <is>
          <t>IOWA SLATE M GD:150972F-3XL</t>
        </is>
      </c>
      <c r="F827" s="2">
        <v>800150972093</v>
      </c>
      <c r="G827" s="0" t="inlineStr">
        <is>
          <t>MENS</t>
        </is>
      </c>
      <c r="H827" s="0" t="inlineStr">
        <is>
          <t>3XL</t>
        </is>
      </c>
      <c r="I827" s="0">
        <v>29.99</v>
      </c>
      <c r="J827" s="0">
        <v>0</v>
      </c>
    </row>
    <row r="828" spans="1:10" customHeight="0">
      <c r="A828" s="0">
        <f>HYPERLINK("https://dl.dropboxusercontent.com/scl/fi/2i7o3bcwx86c1cvj90zjh/editdsc8457-copy.jpg?rlkey=810qw072fuo5kpw7ip7vrtfb3&amp;dl=0","Click to download Image")</f>
      </c>
      <c r="B828" s="0">
        <f>HYPERLINK("https://dl.dropboxusercontent.com/scl/fi/2mvsdzlyugqoxd73g2wrt/mens-t-shirt-size-chartsslate-cason.jpg?rlkey=4zo558j3r6dry3usl9iakfdpi&amp;dl=0","Click to download SizeChart")</f>
      </c>
      <c r="C828" s="0" t="inlineStr">
        <is>
          <t>Slate Men's Short Sleeve Shirt</t>
        </is>
      </c>
      <c r="D828" s="1">
        <v>150972</v>
      </c>
      <c r="E828" s="0" t="inlineStr">
        <is>
          <t>IOWA SLATE M GD:150972Z-12PK</t>
        </is>
      </c>
      <c r="F828" s="2">
        <v>800150972994</v>
      </c>
      <c r="G828" s="0" t="inlineStr">
        <is>
          <t>MENS</t>
        </is>
      </c>
      <c r="H828" s="0" t="inlineStr">
        <is>
          <t>12 PACK</t>
        </is>
      </c>
      <c r="I828" s="0">
        <v>294</v>
      </c>
      <c r="J828" s="0">
        <v>0</v>
      </c>
    </row>
    <row r="829" spans="1:10" customHeight="0">
      <c r="A829" s="0">
        <f>HYPERLINK("https://dl.dropboxusercontent.com/scl/fi/mxsudhg8zbpforolopfzw/editdsc8240-copy.jpg?rlkey=god5ivha607uxhxbzu4vwp6b6&amp;dl=0","Click to download Image")</f>
      </c>
      <c r="B829" s="0">
        <f>HYPERLINK("https://dl.dropboxusercontent.com/scl/fi/bmjbpk52wn2wskxf94x41/womens-t-shirt-size-chartsslate.jpg?rlkey=5fyqo4zzq0zsjq6p9icsp24sm&amp;dl=0","Click to download SizeChart")</f>
      </c>
      <c r="C829" s="0" t="inlineStr">
        <is>
          <t>Slate Women's Short Sleeve Shirt</t>
        </is>
      </c>
      <c r="D829" s="1">
        <v>150091</v>
      </c>
      <c r="E829" s="0" t="inlineStr">
        <is>
          <t>IOWA SLATE W GD:150091A-S</t>
        </is>
      </c>
      <c r="F829" s="2">
        <v>800150091046</v>
      </c>
      <c r="G829" s="0" t="inlineStr">
        <is>
          <t>WOMENS</t>
        </is>
      </c>
      <c r="H829" s="0" t="inlineStr">
        <is>
          <t>S</t>
        </is>
      </c>
      <c r="I829" s="0">
        <v>29.99</v>
      </c>
      <c r="J829" s="0">
        <v>22</v>
      </c>
    </row>
    <row r="830" spans="1:10" customHeight="0">
      <c r="A830" s="0">
        <f>HYPERLINK("https://dl.dropboxusercontent.com/scl/fi/mxsudhg8zbpforolopfzw/editdsc8240-copy.jpg?rlkey=god5ivha607uxhxbzu4vwp6b6&amp;dl=0","Click to download Image")</f>
      </c>
      <c r="B830" s="0">
        <f>HYPERLINK("https://dl.dropboxusercontent.com/scl/fi/bmjbpk52wn2wskxf94x41/womens-t-shirt-size-chartsslate.jpg?rlkey=5fyqo4zzq0zsjq6p9icsp24sm&amp;dl=0","Click to download SizeChart")</f>
      </c>
      <c r="C830" s="0" t="inlineStr">
        <is>
          <t>Slate Women's Short Sleeve Shirt</t>
        </is>
      </c>
      <c r="D830" s="1">
        <v>150091</v>
      </c>
      <c r="E830" s="0" t="inlineStr">
        <is>
          <t>IOWA SLATE W GD:150091B-M</t>
        </is>
      </c>
      <c r="F830" s="2">
        <v>800150091053</v>
      </c>
      <c r="G830" s="0" t="inlineStr">
        <is>
          <t>WOMENS</t>
        </is>
      </c>
      <c r="H830" s="0" t="inlineStr">
        <is>
          <t>M</t>
        </is>
      </c>
      <c r="I830" s="0">
        <v>29.99</v>
      </c>
      <c r="J830" s="0">
        <v>44</v>
      </c>
    </row>
    <row r="831" spans="1:10" customHeight="0">
      <c r="A831" s="0">
        <f>HYPERLINK("https://dl.dropboxusercontent.com/scl/fi/mxsudhg8zbpforolopfzw/editdsc8240-copy.jpg?rlkey=god5ivha607uxhxbzu4vwp6b6&amp;dl=0","Click to download Image")</f>
      </c>
      <c r="B831" s="0">
        <f>HYPERLINK("https://dl.dropboxusercontent.com/scl/fi/bmjbpk52wn2wskxf94x41/womens-t-shirt-size-chartsslate.jpg?rlkey=5fyqo4zzq0zsjq6p9icsp24sm&amp;dl=0","Click to download SizeChart")</f>
      </c>
      <c r="C831" s="0" t="inlineStr">
        <is>
          <t>Slate Women's Short Sleeve Shirt</t>
        </is>
      </c>
      <c r="D831" s="1">
        <v>150091</v>
      </c>
      <c r="E831" s="0" t="inlineStr">
        <is>
          <t>IOWA SLATE W GD:150091C-L</t>
        </is>
      </c>
      <c r="F831" s="2">
        <v>800150091060</v>
      </c>
      <c r="G831" s="0" t="inlineStr">
        <is>
          <t>WOMENS</t>
        </is>
      </c>
      <c r="H831" s="0" t="inlineStr">
        <is>
          <t>L</t>
        </is>
      </c>
      <c r="I831" s="0">
        <v>29.99</v>
      </c>
      <c r="J831" s="0">
        <v>44</v>
      </c>
    </row>
    <row r="832" spans="1:10" customHeight="0">
      <c r="A832" s="0">
        <f>HYPERLINK("https://dl.dropboxusercontent.com/scl/fi/mxsudhg8zbpforolopfzw/editdsc8240-copy.jpg?rlkey=god5ivha607uxhxbzu4vwp6b6&amp;dl=0","Click to download Image")</f>
      </c>
      <c r="B832" s="0">
        <f>HYPERLINK("https://dl.dropboxusercontent.com/scl/fi/bmjbpk52wn2wskxf94x41/womens-t-shirt-size-chartsslate.jpg?rlkey=5fyqo4zzq0zsjq6p9icsp24sm&amp;dl=0","Click to download SizeChart")</f>
      </c>
      <c r="C832" s="0" t="inlineStr">
        <is>
          <t>Slate Women's Short Sleeve Shirt</t>
        </is>
      </c>
      <c r="D832" s="1">
        <v>150091</v>
      </c>
      <c r="E832" s="0" t="inlineStr">
        <is>
          <t>IOWA SLATE W GD:150091D-XL</t>
        </is>
      </c>
      <c r="F832" s="2">
        <v>800150091077</v>
      </c>
      <c r="G832" s="0" t="inlineStr">
        <is>
          <t>WOMENS</t>
        </is>
      </c>
      <c r="H832" s="0" t="inlineStr">
        <is>
          <t>XL</t>
        </is>
      </c>
      <c r="I832" s="0">
        <v>29.99</v>
      </c>
      <c r="J832" s="0">
        <v>22</v>
      </c>
    </row>
    <row r="833" spans="1:10" customHeight="0">
      <c r="A833" s="0">
        <f>HYPERLINK("https://dl.dropboxusercontent.com/scl/fi/mxsudhg8zbpforolopfzw/editdsc8240-copy.jpg?rlkey=god5ivha607uxhxbzu4vwp6b6&amp;dl=0","Click to download Image")</f>
      </c>
      <c r="B833" s="0">
        <f>HYPERLINK("https://dl.dropboxusercontent.com/scl/fi/bmjbpk52wn2wskxf94x41/womens-t-shirt-size-chartsslate.jpg?rlkey=5fyqo4zzq0zsjq6p9icsp24sm&amp;dl=0","Click to download SizeChart")</f>
      </c>
      <c r="C833" s="0" t="inlineStr">
        <is>
          <t>Slate Women's Short Sleeve Shirt</t>
        </is>
      </c>
      <c r="D833" s="1">
        <v>150091</v>
      </c>
      <c r="E833" s="0" t="inlineStr">
        <is>
          <t>IOWA SLATE W GD:150091E-2XL</t>
        </is>
      </c>
      <c r="F833" s="2">
        <v>800150091084</v>
      </c>
      <c r="G833" s="0" t="inlineStr">
        <is>
          <t>WOMENS</t>
        </is>
      </c>
      <c r="H833" s="0" t="inlineStr">
        <is>
          <t>2XL</t>
        </is>
      </c>
      <c r="I833" s="0">
        <v>31.99</v>
      </c>
      <c r="J833" s="0">
        <v>9</v>
      </c>
    </row>
    <row r="834" spans="1:10" customHeight="0">
      <c r="A834" s="0">
        <f>HYPERLINK("https://dl.dropboxusercontent.com/scl/fi/mxsudhg8zbpforolopfzw/editdsc8240-copy.jpg?rlkey=god5ivha607uxhxbzu4vwp6b6&amp;dl=0","Click to download Image")</f>
      </c>
      <c r="B834" s="0">
        <f>HYPERLINK("https://dl.dropboxusercontent.com/scl/fi/bmjbpk52wn2wskxf94x41/womens-t-shirt-size-chartsslate.jpg?rlkey=5fyqo4zzq0zsjq6p9icsp24sm&amp;dl=0","Click to download SizeChart")</f>
      </c>
      <c r="C834" s="0" t="inlineStr">
        <is>
          <t>Slate Women's Short Sleeve Shirt</t>
        </is>
      </c>
      <c r="D834" s="1">
        <v>150091</v>
      </c>
      <c r="E834" s="0" t="inlineStr">
        <is>
          <t>IOWA SLATE W GD:150091F-3XL</t>
        </is>
      </c>
      <c r="F834" s="2">
        <v>800150091091</v>
      </c>
      <c r="G834" s="0" t="inlineStr">
        <is>
          <t>WOMENS</t>
        </is>
      </c>
      <c r="H834" s="0" t="inlineStr">
        <is>
          <t>3XL</t>
        </is>
      </c>
      <c r="I834" s="0">
        <v>31.99</v>
      </c>
      <c r="J834" s="0">
        <v>3</v>
      </c>
    </row>
    <row r="835" spans="1:10" customHeight="0">
      <c r="A835" s="0">
        <f>HYPERLINK("https://dl.dropboxusercontent.com/scl/fi/mxsudhg8zbpforolopfzw/editdsc8240-copy.jpg?rlkey=god5ivha607uxhxbzu4vwp6b6&amp;dl=0","Click to download Image")</f>
      </c>
      <c r="B835" s="0">
        <f>HYPERLINK("https://dl.dropboxusercontent.com/scl/fi/bmjbpk52wn2wskxf94x41/womens-t-shirt-size-chartsslate.jpg?rlkey=5fyqo4zzq0zsjq6p9icsp24sm&amp;dl=0","Click to download SizeChart")</f>
      </c>
      <c r="C835" s="0" t="inlineStr">
        <is>
          <t>Slate Women's Short Sleeve Shirt</t>
        </is>
      </c>
      <c r="D835" s="1">
        <v>150091</v>
      </c>
      <c r="E835" s="0" t="inlineStr">
        <is>
          <t>IOWA SLATE W GD:150091Z-12PK</t>
        </is>
      </c>
      <c r="F835" s="2">
        <v>800150091992</v>
      </c>
      <c r="G835" s="0" t="inlineStr">
        <is>
          <t>WOMENS</t>
        </is>
      </c>
      <c r="H835" s="0" t="inlineStr">
        <is>
          <t>12 PACK</t>
        </is>
      </c>
      <c r="I835" s="0">
        <v>288</v>
      </c>
      <c r="J835" s="0">
        <v>6</v>
      </c>
    </row>
    <row r="836" spans="1:10" customHeight="0">
      <c r="A836" s="0">
        <f>HYPERLINK("https://dl.dropboxusercontent.com/scl/fi/l0f5i17evzfeuo4bfz8ae/slate-151446-tn.jpg?rlkey=ryjda3egvt6urunytgci10whf&amp;dl=0","Click to download Image")</f>
      </c>
      <c r="B836" s="0">
        <f>HYPERLINK("https://dl.dropboxusercontent.com/scl/fi/gqjdasg52jd5u80wx3wfd/mens-t-shirt-size-chartsslate-ls.jpg?rlkey=uv8pgbvky2ofsu3oej1fgtl9h&amp;dl=0","Click to download SizeChart")</f>
      </c>
      <c r="C836" s="0" t="inlineStr">
        <is>
          <t>Slate Men's Long Sleeve Shirt</t>
        </is>
      </c>
      <c r="D836" s="1">
        <v>151446</v>
      </c>
      <c r="E836" s="0" t="inlineStr">
        <is>
          <t>IOWA SLATE M BK:151446A-S</t>
        </is>
      </c>
      <c r="F836" s="2">
        <v>800151446043</v>
      </c>
      <c r="G836" s="0" t="inlineStr">
        <is>
          <t>MENS</t>
        </is>
      </c>
      <c r="H836" s="0" t="inlineStr">
        <is>
          <t>S</t>
        </is>
      </c>
      <c r="I836" s="0">
        <v>32.99</v>
      </c>
      <c r="J836" s="0">
        <v>0</v>
      </c>
    </row>
    <row r="837" spans="1:10" customHeight="0">
      <c r="A837" s="0">
        <f>HYPERLINK("https://dl.dropboxusercontent.com/scl/fi/l0f5i17evzfeuo4bfz8ae/slate-151446-tn.jpg?rlkey=ryjda3egvt6urunytgci10whf&amp;dl=0","Click to download Image")</f>
      </c>
      <c r="B837" s="0">
        <f>HYPERLINK("https://dl.dropboxusercontent.com/scl/fi/gqjdasg52jd5u80wx3wfd/mens-t-shirt-size-chartsslate-ls.jpg?rlkey=uv8pgbvky2ofsu3oej1fgtl9h&amp;dl=0","Click to download SizeChart")</f>
      </c>
      <c r="C837" s="0" t="inlineStr">
        <is>
          <t>Slate Men's Long Sleeve Shirt</t>
        </is>
      </c>
      <c r="D837" s="1">
        <v>151446</v>
      </c>
      <c r="E837" s="0" t="inlineStr">
        <is>
          <t>IOWA SLATE M BK:151446B-M</t>
        </is>
      </c>
      <c r="F837" s="2">
        <v>800151446050</v>
      </c>
      <c r="G837" s="0" t="inlineStr">
        <is>
          <t>MENS</t>
        </is>
      </c>
      <c r="H837" s="0" t="inlineStr">
        <is>
          <t>M</t>
        </is>
      </c>
      <c r="I837" s="0">
        <v>32.99</v>
      </c>
      <c r="J837" s="0">
        <v>1</v>
      </c>
    </row>
    <row r="838" spans="1:10" customHeight="0">
      <c r="A838" s="0">
        <f>HYPERLINK("https://dl.dropboxusercontent.com/scl/fi/l0f5i17evzfeuo4bfz8ae/slate-151446-tn.jpg?rlkey=ryjda3egvt6urunytgci10whf&amp;dl=0","Click to download Image")</f>
      </c>
      <c r="B838" s="0">
        <f>HYPERLINK("https://dl.dropboxusercontent.com/scl/fi/gqjdasg52jd5u80wx3wfd/mens-t-shirt-size-chartsslate-ls.jpg?rlkey=uv8pgbvky2ofsu3oej1fgtl9h&amp;dl=0","Click to download SizeChart")</f>
      </c>
      <c r="C838" s="0" t="inlineStr">
        <is>
          <t>Slate Men's Long Sleeve Shirt</t>
        </is>
      </c>
      <c r="D838" s="1">
        <v>151446</v>
      </c>
      <c r="E838" s="0" t="inlineStr">
        <is>
          <t>IOWA SLATE M BK:151446C-L</t>
        </is>
      </c>
      <c r="F838" s="2">
        <v>800151446067</v>
      </c>
      <c r="G838" s="0" t="inlineStr">
        <is>
          <t>MENS</t>
        </is>
      </c>
      <c r="H838" s="0" t="inlineStr">
        <is>
          <t>L</t>
        </is>
      </c>
      <c r="I838" s="0">
        <v>32.99</v>
      </c>
      <c r="J838" s="0">
        <v>0</v>
      </c>
    </row>
    <row r="839" spans="1:10" customHeight="0">
      <c r="A839" s="0">
        <f>HYPERLINK("https://dl.dropboxusercontent.com/scl/fi/l0f5i17evzfeuo4bfz8ae/slate-151446-tn.jpg?rlkey=ryjda3egvt6urunytgci10whf&amp;dl=0","Click to download Image")</f>
      </c>
      <c r="B839" s="0">
        <f>HYPERLINK("https://dl.dropboxusercontent.com/scl/fi/gqjdasg52jd5u80wx3wfd/mens-t-shirt-size-chartsslate-ls.jpg?rlkey=uv8pgbvky2ofsu3oej1fgtl9h&amp;dl=0","Click to download SizeChart")</f>
      </c>
      <c r="C839" s="0" t="inlineStr">
        <is>
          <t>Slate Men's Long Sleeve Shirt</t>
        </is>
      </c>
      <c r="D839" s="1">
        <v>151446</v>
      </c>
      <c r="E839" s="0" t="inlineStr">
        <is>
          <t>IOWA SLATE M BK:151446D-XL</t>
        </is>
      </c>
      <c r="F839" s="2">
        <v>800151446074</v>
      </c>
      <c r="G839" s="0" t="inlineStr">
        <is>
          <t>MENS</t>
        </is>
      </c>
      <c r="H839" s="0" t="inlineStr">
        <is>
          <t>XL</t>
        </is>
      </c>
      <c r="I839" s="0">
        <v>32.99</v>
      </c>
      <c r="J839" s="0">
        <v>0</v>
      </c>
    </row>
    <row r="840" spans="1:10" customHeight="0">
      <c r="A840" s="0">
        <f>HYPERLINK("https://dl.dropboxusercontent.com/scl/fi/l0f5i17evzfeuo4bfz8ae/slate-151446-tn.jpg?rlkey=ryjda3egvt6urunytgci10whf&amp;dl=0","Click to download Image")</f>
      </c>
      <c r="B840" s="0">
        <f>HYPERLINK("https://dl.dropboxusercontent.com/scl/fi/gqjdasg52jd5u80wx3wfd/mens-t-shirt-size-chartsslate-ls.jpg?rlkey=uv8pgbvky2ofsu3oej1fgtl9h&amp;dl=0","Click to download SizeChart")</f>
      </c>
      <c r="C840" s="0" t="inlineStr">
        <is>
          <t>Slate Men's Long Sleeve Shirt</t>
        </is>
      </c>
      <c r="D840" s="1">
        <v>151446</v>
      </c>
      <c r="E840" s="0" t="inlineStr">
        <is>
          <t>IOWA SLATE M BK:151446E-2XL</t>
        </is>
      </c>
      <c r="F840" s="2">
        <v>800151446081</v>
      </c>
      <c r="G840" s="0" t="inlineStr">
        <is>
          <t>MENS</t>
        </is>
      </c>
      <c r="H840" s="0" t="inlineStr">
        <is>
          <t>2XL</t>
        </is>
      </c>
      <c r="I840" s="0">
        <v>32.99</v>
      </c>
      <c r="J840" s="0">
        <v>0</v>
      </c>
    </row>
    <row r="841" spans="1:10" customHeight="0">
      <c r="A841" s="0">
        <f>HYPERLINK("https://dl.dropboxusercontent.com/scl/fi/l0f5i17evzfeuo4bfz8ae/slate-151446-tn.jpg?rlkey=ryjda3egvt6urunytgci10whf&amp;dl=0","Click to download Image")</f>
      </c>
      <c r="B841" s="0">
        <f>HYPERLINK("https://dl.dropboxusercontent.com/scl/fi/gqjdasg52jd5u80wx3wfd/mens-t-shirt-size-chartsslate-ls.jpg?rlkey=uv8pgbvky2ofsu3oej1fgtl9h&amp;dl=0","Click to download SizeChart")</f>
      </c>
      <c r="C841" s="0" t="inlineStr">
        <is>
          <t>Slate Men's Long Sleeve Shirt</t>
        </is>
      </c>
      <c r="D841" s="1">
        <v>151446</v>
      </c>
      <c r="E841" s="0" t="inlineStr">
        <is>
          <t>IOWA SLATE M BK:151446F-3XL</t>
        </is>
      </c>
      <c r="F841" s="2">
        <v>800151446098</v>
      </c>
      <c r="G841" s="0" t="inlineStr">
        <is>
          <t>MENS</t>
        </is>
      </c>
      <c r="H841" s="0" t="inlineStr">
        <is>
          <t>3XL</t>
        </is>
      </c>
      <c r="I841" s="0">
        <v>32.99</v>
      </c>
      <c r="J841" s="0">
        <v>0</v>
      </c>
    </row>
    <row r="842" spans="1:10" customHeight="0">
      <c r="A842" s="0">
        <f>HYPERLINK("https://dl.dropboxusercontent.com/scl/fi/l0f5i17evzfeuo4bfz8ae/slate-151446-tn.jpg?rlkey=ryjda3egvt6urunytgci10whf&amp;dl=0","Click to download Image")</f>
      </c>
      <c r="B842" s="0">
        <f>HYPERLINK("https://dl.dropboxusercontent.com/scl/fi/gqjdasg52jd5u80wx3wfd/mens-t-shirt-size-chartsslate-ls.jpg?rlkey=uv8pgbvky2ofsu3oej1fgtl9h&amp;dl=0","Click to download SizeChart")</f>
      </c>
      <c r="C842" s="0" t="inlineStr">
        <is>
          <t>Slate Men's Long Sleeve Shirt</t>
        </is>
      </c>
      <c r="D842" s="1">
        <v>151446</v>
      </c>
      <c r="E842" s="0" t="inlineStr">
        <is>
          <t>IOWA SLATE M BK:151446Z-12PK</t>
        </is>
      </c>
      <c r="F842" s="2">
        <v>800151446999</v>
      </c>
      <c r="G842" s="0" t="inlineStr">
        <is>
          <t>MENS</t>
        </is>
      </c>
      <c r="H842" s="0" t="inlineStr">
        <is>
          <t>12 PACK</t>
        </is>
      </c>
      <c r="I842" s="0">
        <v>322.8</v>
      </c>
      <c r="J842" s="0">
        <v>0</v>
      </c>
    </row>
    <row r="843" spans="1:10" customHeight="0">
      <c r="A843" s="0">
        <f>HYPERLINK("https://dl.dropboxusercontent.com/scl/fi/iqg0763gbv6g3mpikbvw2/slate-151492-f.jpg?rlkey=heugbeeyzmcgw9ckptdsqe6ef&amp;dl=0","Click to download Image")</f>
      </c>
      <c r="B843" s="0">
        <f>HYPERLINK("https://dl.dropboxusercontent.com/scl/fi/2ka0ci8czthagthss0kww/tdlr-yth-t-shirt-size-chartsslate-ss.jpg?rlkey=kl6tdtok9jjjrh7czxf3tsq7r&amp;dl=0","Click to download SizeChart")</f>
      </c>
      <c r="C843" s="0" t="inlineStr">
        <is>
          <t>Slate Youth Short Sleeve Shirt</t>
        </is>
      </c>
      <c r="D843" s="1">
        <v>151492</v>
      </c>
      <c r="E843" s="0" t="inlineStr">
        <is>
          <t>IOWA SLATE Y GD:151492B-YS</t>
        </is>
      </c>
      <c r="F843" s="2">
        <v>800151492019</v>
      </c>
      <c r="G843" s="0" t="inlineStr">
        <is>
          <t>YOUTH</t>
        </is>
      </c>
      <c r="H843" s="0" t="inlineStr">
        <is>
          <t>YS</t>
        </is>
      </c>
      <c r="I843" s="0">
        <v>29.99</v>
      </c>
      <c r="J843" s="0">
        <v>1</v>
      </c>
    </row>
    <row r="844" spans="1:10" customHeight="0">
      <c r="A844" s="0">
        <f>HYPERLINK("https://dl.dropboxusercontent.com/scl/fi/iqg0763gbv6g3mpikbvw2/slate-151492-f.jpg?rlkey=heugbeeyzmcgw9ckptdsqe6ef&amp;dl=0","Click to download Image")</f>
      </c>
      <c r="B844" s="0">
        <f>HYPERLINK("https://dl.dropboxusercontent.com/scl/fi/2ka0ci8czthagthss0kww/tdlr-yth-t-shirt-size-chartsslate-ss.jpg?rlkey=kl6tdtok9jjjrh7czxf3tsq7r&amp;dl=0","Click to download SizeChart")</f>
      </c>
      <c r="C844" s="0" t="inlineStr">
        <is>
          <t>Slate Youth Short Sleeve Shirt</t>
        </is>
      </c>
      <c r="D844" s="1">
        <v>151492</v>
      </c>
      <c r="E844" s="0" t="inlineStr">
        <is>
          <t>IOWA SLATE Y GD:151492C-YM</t>
        </is>
      </c>
      <c r="F844" s="2">
        <v>800151492026</v>
      </c>
      <c r="G844" s="0" t="inlineStr">
        <is>
          <t>YOUTH</t>
        </is>
      </c>
      <c r="H844" s="0" t="inlineStr">
        <is>
          <t>YM</t>
        </is>
      </c>
      <c r="I844" s="0">
        <v>29.99</v>
      </c>
      <c r="J844" s="0">
        <v>0</v>
      </c>
    </row>
    <row r="845" spans="1:10" customHeight="0">
      <c r="A845" s="0">
        <f>HYPERLINK("https://dl.dropboxusercontent.com/scl/fi/iqg0763gbv6g3mpikbvw2/slate-151492-f.jpg?rlkey=heugbeeyzmcgw9ckptdsqe6ef&amp;dl=0","Click to download Image")</f>
      </c>
      <c r="B845" s="0">
        <f>HYPERLINK("https://dl.dropboxusercontent.com/scl/fi/2ka0ci8czthagthss0kww/tdlr-yth-t-shirt-size-chartsslate-ss.jpg?rlkey=kl6tdtok9jjjrh7czxf3tsq7r&amp;dl=0","Click to download SizeChart")</f>
      </c>
      <c r="C845" s="0" t="inlineStr">
        <is>
          <t>Slate Youth Short Sleeve Shirt</t>
        </is>
      </c>
      <c r="D845" s="1">
        <v>151492</v>
      </c>
      <c r="E845" s="0" t="inlineStr">
        <is>
          <t>IOWA SLATE Y GD:151492D-YL</t>
        </is>
      </c>
      <c r="F845" s="2">
        <v>800151492033</v>
      </c>
      <c r="G845" s="0" t="inlineStr">
        <is>
          <t>YOUTH</t>
        </is>
      </c>
      <c r="H845" s="0" t="inlineStr">
        <is>
          <t>YL</t>
        </is>
      </c>
      <c r="I845" s="0">
        <v>29.99</v>
      </c>
      <c r="J845" s="0">
        <v>0</v>
      </c>
    </row>
    <row r="846" spans="1:10" customHeight="0">
      <c r="A846" s="0">
        <f>HYPERLINK("https://dl.dropboxusercontent.com/scl/fi/iqg0763gbv6g3mpikbvw2/slate-151492-f.jpg?rlkey=heugbeeyzmcgw9ckptdsqe6ef&amp;dl=0","Click to download Image")</f>
      </c>
      <c r="B846" s="0">
        <f>HYPERLINK("https://dl.dropboxusercontent.com/scl/fi/2ka0ci8czthagthss0kww/tdlr-yth-t-shirt-size-chartsslate-ss.jpg?rlkey=kl6tdtok9jjjrh7czxf3tsq7r&amp;dl=0","Click to download SizeChart")</f>
      </c>
      <c r="C846" s="0" t="inlineStr">
        <is>
          <t>Slate Youth Short Sleeve Shirt</t>
        </is>
      </c>
      <c r="D846" s="1">
        <v>151492</v>
      </c>
      <c r="E846" s="0" t="inlineStr">
        <is>
          <t>IOWA SLATE Y GD:151492E-YXL</t>
        </is>
      </c>
      <c r="F846" s="2">
        <v>800151492040</v>
      </c>
      <c r="G846" s="0" t="inlineStr">
        <is>
          <t>YOUTH</t>
        </is>
      </c>
      <c r="H846" s="0" t="inlineStr">
        <is>
          <t>YXL</t>
        </is>
      </c>
      <c r="I846" s="0">
        <v>29.99</v>
      </c>
      <c r="J846" s="0">
        <v>3</v>
      </c>
    </row>
    <row r="847" spans="1:10" customHeight="0">
      <c r="A847" s="0">
        <f>HYPERLINK("https://dl.dropboxusercontent.com/scl/fi/iqg0763gbv6g3mpikbvw2/slate-151492-f.jpg?rlkey=heugbeeyzmcgw9ckptdsqe6ef&amp;dl=0","Click to download Image")</f>
      </c>
      <c r="B847" s="0">
        <f>HYPERLINK("https://dl.dropboxusercontent.com/scl/fi/2ka0ci8czthagthss0kww/tdlr-yth-t-shirt-size-chartsslate-ss.jpg?rlkey=kl6tdtok9jjjrh7czxf3tsq7r&amp;dl=0","Click to download SizeChart")</f>
      </c>
      <c r="C847" s="0" t="inlineStr">
        <is>
          <t>Slate Youth Short Sleeve Shirt</t>
        </is>
      </c>
      <c r="D847" s="1">
        <v>151492</v>
      </c>
      <c r="E847" s="0" t="inlineStr">
        <is>
          <t>IOWA SLATE Y GD:151492Z-12PK</t>
        </is>
      </c>
      <c r="F847" s="2">
        <v>800151492996</v>
      </c>
      <c r="G847" s="0" t="inlineStr">
        <is>
          <t>YOUTH</t>
        </is>
      </c>
      <c r="H847" s="0" t="inlineStr">
        <is>
          <t>12 PACK</t>
        </is>
      </c>
      <c r="I847" s="0">
        <v>288</v>
      </c>
      <c r="J847" s="0">
        <v>0</v>
      </c>
    </row>
    <row r="848" spans="1:10" customHeight="0">
      <c r="A848" s="0">
        <f>HYPERLINK("https://dl.dropboxusercontent.com/scl/fi/q1shaw8iow5tuecyd2yn1/slate-151492-f.jpg?rlkey=nu1ui5721efd7n5gztkaurbnq&amp;dl=0","Click to download Image")</f>
      </c>
      <c r="B848" s="0">
        <f>HYPERLINK("https://dl.dropboxusercontent.com/scl/fi/cihiz1m412xgq03l3g85x/tdlr-yth-t-shirt-size-chartsslate-ss.jpg?rlkey=hogoie507rouynpx3n85nwyzm&amp;dl=0","Click to download SizeChart")</f>
      </c>
      <c r="C848" s="0" t="inlineStr">
        <is>
          <t>Slate Toddler Short Sleeve Shirt</t>
        </is>
      </c>
      <c r="D848" s="1">
        <v>151963</v>
      </c>
      <c r="E848" s="0" t="inlineStr">
        <is>
          <t>IOWA SLATE T GD:151963A-2T</t>
        </is>
      </c>
      <c r="F848" s="2">
        <v>800151963083</v>
      </c>
      <c r="G848" s="0" t="inlineStr">
        <is>
          <t>TODDLER</t>
        </is>
      </c>
      <c r="H848" s="0" t="inlineStr">
        <is>
          <t>2T</t>
        </is>
      </c>
      <c r="I848" s="0">
        <v>29.99</v>
      </c>
      <c r="J848" s="0">
        <v>1</v>
      </c>
    </row>
    <row r="849" spans="1:10" customHeight="0">
      <c r="A849" s="0">
        <f>HYPERLINK("https://dl.dropboxusercontent.com/scl/fi/q1shaw8iow5tuecyd2yn1/slate-151492-f.jpg?rlkey=nu1ui5721efd7n5gztkaurbnq&amp;dl=0","Click to download Image")</f>
      </c>
      <c r="B849" s="0">
        <f>HYPERLINK("https://dl.dropboxusercontent.com/scl/fi/cihiz1m412xgq03l3g85x/tdlr-yth-t-shirt-size-chartsslate-ss.jpg?rlkey=hogoie507rouynpx3n85nwyzm&amp;dl=0","Click to download SizeChart")</f>
      </c>
      <c r="C849" s="0" t="inlineStr">
        <is>
          <t>Slate Toddler Short Sleeve Shirt</t>
        </is>
      </c>
      <c r="D849" s="1">
        <v>151963</v>
      </c>
      <c r="E849" s="0" t="inlineStr">
        <is>
          <t>IOWA SLATE T GD:151963B-3T</t>
        </is>
      </c>
      <c r="F849" s="2">
        <v>800151963090</v>
      </c>
      <c r="G849" s="0" t="inlineStr">
        <is>
          <t>TODDLER</t>
        </is>
      </c>
      <c r="H849" s="0" t="inlineStr">
        <is>
          <t>3T</t>
        </is>
      </c>
      <c r="I849" s="0">
        <v>29.99</v>
      </c>
      <c r="J849" s="0">
        <v>1</v>
      </c>
    </row>
    <row r="850" spans="1:10" customHeight="0">
      <c r="A850" s="0">
        <f>HYPERLINK("https://dl.dropboxusercontent.com/scl/fi/q1shaw8iow5tuecyd2yn1/slate-151492-f.jpg?rlkey=nu1ui5721efd7n5gztkaurbnq&amp;dl=0","Click to download Image")</f>
      </c>
      <c r="B850" s="0">
        <f>HYPERLINK("https://dl.dropboxusercontent.com/scl/fi/cihiz1m412xgq03l3g85x/tdlr-yth-t-shirt-size-chartsslate-ss.jpg?rlkey=hogoie507rouynpx3n85nwyzm&amp;dl=0","Click to download SizeChart")</f>
      </c>
      <c r="C850" s="0" t="inlineStr">
        <is>
          <t>Slate Toddler Short Sleeve Shirt</t>
        </is>
      </c>
      <c r="D850" s="1">
        <v>151963</v>
      </c>
      <c r="E850" s="0" t="inlineStr">
        <is>
          <t>IOWA SLATE T GD:151963C-4T</t>
        </is>
      </c>
      <c r="F850" s="2">
        <v>800151963106</v>
      </c>
      <c r="G850" s="0" t="inlineStr">
        <is>
          <t>TODDLER</t>
        </is>
      </c>
      <c r="H850" s="0" t="inlineStr">
        <is>
          <t>4T</t>
        </is>
      </c>
      <c r="I850" s="0">
        <v>29.99</v>
      </c>
      <c r="J850" s="0">
        <v>1</v>
      </c>
    </row>
    <row r="851" spans="1:10" customHeight="0">
      <c r="A851" s="0">
        <f>HYPERLINK("https://dl.dropboxusercontent.com/scl/fi/q1shaw8iow5tuecyd2yn1/slate-151492-f.jpg?rlkey=nu1ui5721efd7n5gztkaurbnq&amp;dl=0","Click to download Image")</f>
      </c>
      <c r="B851" s="0">
        <f>HYPERLINK("https://dl.dropboxusercontent.com/scl/fi/cihiz1m412xgq03l3g85x/tdlr-yth-t-shirt-size-chartsslate-ss.jpg?rlkey=hogoie507rouynpx3n85nwyzm&amp;dl=0","Click to download SizeChart")</f>
      </c>
      <c r="C851" s="0" t="inlineStr">
        <is>
          <t>Slate Toddler Short Sleeve Shirt</t>
        </is>
      </c>
      <c r="D851" s="1">
        <v>151963</v>
      </c>
      <c r="E851" s="0" t="inlineStr">
        <is>
          <t>IOWA SLATE T GD:151963D-5T</t>
        </is>
      </c>
      <c r="F851" s="2">
        <v>800151963113</v>
      </c>
      <c r="G851" s="0" t="inlineStr">
        <is>
          <t>TODDLER</t>
        </is>
      </c>
      <c r="H851" s="0" t="inlineStr">
        <is>
          <t>5T</t>
        </is>
      </c>
      <c r="I851" s="0">
        <v>29.99</v>
      </c>
      <c r="J851" s="0">
        <v>0</v>
      </c>
    </row>
    <row r="852" spans="1:10" customHeight="0">
      <c r="A852" s="0">
        <f>HYPERLINK("https://dl.dropboxusercontent.com/scl/fi/q1shaw8iow5tuecyd2yn1/slate-151492-f.jpg?rlkey=nu1ui5721efd7n5gztkaurbnq&amp;dl=0","Click to download Image")</f>
      </c>
      <c r="B852" s="0">
        <f>HYPERLINK("https://dl.dropboxusercontent.com/scl/fi/cihiz1m412xgq03l3g85x/tdlr-yth-t-shirt-size-chartsslate-ss.jpg?rlkey=hogoie507rouynpx3n85nwyzm&amp;dl=0","Click to download SizeChart")</f>
      </c>
      <c r="C852" s="0" t="inlineStr">
        <is>
          <t>Slate Toddler Short Sleeve Shirt</t>
        </is>
      </c>
      <c r="D852" s="1">
        <v>151963</v>
      </c>
      <c r="E852" s="0" t="inlineStr">
        <is>
          <t>IOWA SLATE T GD:151963Z-12PK</t>
        </is>
      </c>
      <c r="F852" s="2">
        <v>800151963984</v>
      </c>
      <c r="G852" s="0" t="inlineStr">
        <is>
          <t>TODDLER</t>
        </is>
      </c>
      <c r="H852" s="0" t="inlineStr">
        <is>
          <t>12 PACK</t>
        </is>
      </c>
      <c r="I852" s="0">
        <v>288</v>
      </c>
      <c r="J852" s="0">
        <v>0</v>
      </c>
    </row>
    <row r="853" spans="1:10" customHeight="0">
      <c r="A853" s="0">
        <f>HYPERLINK("https://dl.dropboxusercontent.com/scl/fi/ui052eesuk2gic3tcztg8/slatels52883.jpg?rlkey=z7eoq4qt44labmbj60dmfq84p&amp;dl=0","Click to download Image")</f>
      </c>
      <c r="B853" s="0">
        <f>HYPERLINK("https://dl.dropboxusercontent.com/scl/fi/ynkuy75j4p6ademc9w19a/tdlr-yth-t-shirt-size-chartsslate-ls.jpg?rlkey=z39t2633q6frxn699br3ydn1d&amp;dl=0","Click to download SizeChart")</f>
      </c>
      <c r="C853" s="0" t="inlineStr">
        <is>
          <t>Slate Youth Long Sleeve Shirt</t>
        </is>
      </c>
      <c r="D853" s="1">
        <v>150775</v>
      </c>
      <c r="E853" s="0" t="inlineStr">
        <is>
          <t>IOWA SLATE Y BK:150775B-YS</t>
        </is>
      </c>
      <c r="F853" s="2">
        <v>800150775014</v>
      </c>
      <c r="G853" s="0" t="inlineStr">
        <is>
          <t>YOUTH</t>
        </is>
      </c>
      <c r="H853" s="0" t="inlineStr">
        <is>
          <t>YS</t>
        </is>
      </c>
      <c r="I853" s="0">
        <v>32.99</v>
      </c>
      <c r="J853" s="0">
        <v>4</v>
      </c>
    </row>
    <row r="854" spans="1:10" customHeight="0">
      <c r="A854" s="0">
        <f>HYPERLINK("https://dl.dropboxusercontent.com/scl/fi/ui052eesuk2gic3tcztg8/slatels52883.jpg?rlkey=z7eoq4qt44labmbj60dmfq84p&amp;dl=0","Click to download Image")</f>
      </c>
      <c r="B854" s="0">
        <f>HYPERLINK("https://dl.dropboxusercontent.com/scl/fi/ynkuy75j4p6ademc9w19a/tdlr-yth-t-shirt-size-chartsslate-ls.jpg?rlkey=z39t2633q6frxn699br3ydn1d&amp;dl=0","Click to download SizeChart")</f>
      </c>
      <c r="C854" s="0" t="inlineStr">
        <is>
          <t>Slate Youth Long Sleeve Shirt</t>
        </is>
      </c>
      <c r="D854" s="1">
        <v>150775</v>
      </c>
      <c r="E854" s="0" t="inlineStr">
        <is>
          <t>IOWA SLATE Y BK:150775C-YM</t>
        </is>
      </c>
      <c r="F854" s="2">
        <v>800150775021</v>
      </c>
      <c r="G854" s="0" t="inlineStr">
        <is>
          <t>YOUTH</t>
        </is>
      </c>
      <c r="H854" s="0" t="inlineStr">
        <is>
          <t>YM</t>
        </is>
      </c>
      <c r="I854" s="0">
        <v>32.99</v>
      </c>
      <c r="J854" s="0">
        <v>3</v>
      </c>
    </row>
    <row r="855" spans="1:10" customHeight="0">
      <c r="A855" s="0">
        <f>HYPERLINK("https://dl.dropboxusercontent.com/scl/fi/ui052eesuk2gic3tcztg8/slatels52883.jpg?rlkey=z7eoq4qt44labmbj60dmfq84p&amp;dl=0","Click to download Image")</f>
      </c>
      <c r="B855" s="0">
        <f>HYPERLINK("https://dl.dropboxusercontent.com/scl/fi/ynkuy75j4p6ademc9w19a/tdlr-yth-t-shirt-size-chartsslate-ls.jpg?rlkey=z39t2633q6frxn699br3ydn1d&amp;dl=0","Click to download SizeChart")</f>
      </c>
      <c r="C855" s="0" t="inlineStr">
        <is>
          <t>Slate Youth Long Sleeve Shirt</t>
        </is>
      </c>
      <c r="D855" s="1">
        <v>150775</v>
      </c>
      <c r="E855" s="0" t="inlineStr">
        <is>
          <t>IOWA SLATE Y BK:150775D-YL</t>
        </is>
      </c>
      <c r="F855" s="2">
        <v>800150775038</v>
      </c>
      <c r="G855" s="0" t="inlineStr">
        <is>
          <t>YOUTH</t>
        </is>
      </c>
      <c r="H855" s="0" t="inlineStr">
        <is>
          <t>YL</t>
        </is>
      </c>
      <c r="I855" s="0">
        <v>32.99</v>
      </c>
      <c r="J855" s="0">
        <v>3</v>
      </c>
    </row>
    <row r="856" spans="1:10" customHeight="0">
      <c r="A856" s="0">
        <f>HYPERLINK("https://dl.dropboxusercontent.com/scl/fi/ui052eesuk2gic3tcztg8/slatels52883.jpg?rlkey=z7eoq4qt44labmbj60dmfq84p&amp;dl=0","Click to download Image")</f>
      </c>
      <c r="B856" s="0">
        <f>HYPERLINK("https://dl.dropboxusercontent.com/scl/fi/ynkuy75j4p6ademc9w19a/tdlr-yth-t-shirt-size-chartsslate-ls.jpg?rlkey=z39t2633q6frxn699br3ydn1d&amp;dl=0","Click to download SizeChart")</f>
      </c>
      <c r="C856" s="0" t="inlineStr">
        <is>
          <t>Slate Youth Long Sleeve Shirt</t>
        </is>
      </c>
      <c r="D856" s="1">
        <v>150775</v>
      </c>
      <c r="E856" s="0" t="inlineStr">
        <is>
          <t>IOWA SLATE Y BK:150775E-YXL</t>
        </is>
      </c>
      <c r="F856" s="2">
        <v>800150775045</v>
      </c>
      <c r="G856" s="0" t="inlineStr">
        <is>
          <t>YOUTH</t>
        </is>
      </c>
      <c r="H856" s="0" t="inlineStr">
        <is>
          <t>YXL</t>
        </is>
      </c>
      <c r="I856" s="0">
        <v>32.99</v>
      </c>
      <c r="J856" s="0">
        <v>4</v>
      </c>
    </row>
    <row r="857" spans="1:10" customHeight="0">
      <c r="A857" s="0">
        <f>HYPERLINK("https://dl.dropboxusercontent.com/scl/fi/ui052eesuk2gic3tcztg8/slatels52883.jpg?rlkey=z7eoq4qt44labmbj60dmfq84p&amp;dl=0","Click to download Image")</f>
      </c>
      <c r="B857" s="0">
        <f>HYPERLINK("https://dl.dropboxusercontent.com/scl/fi/ynkuy75j4p6ademc9w19a/tdlr-yth-t-shirt-size-chartsslate-ls.jpg?rlkey=z39t2633q6frxn699br3ydn1d&amp;dl=0","Click to download SizeChart")</f>
      </c>
      <c r="C857" s="0" t="inlineStr">
        <is>
          <t>Slate Youth Long Sleeve Shirt</t>
        </is>
      </c>
      <c r="D857" s="1">
        <v>150775</v>
      </c>
      <c r="E857" s="0" t="inlineStr">
        <is>
          <t>IOWA SLATE Y BK:150775Z-12PK</t>
        </is>
      </c>
      <c r="F857" s="2">
        <v>800150775991</v>
      </c>
      <c r="G857" s="0" t="inlineStr">
        <is>
          <t>YOUTH</t>
        </is>
      </c>
      <c r="H857" s="0" t="inlineStr">
        <is>
          <t>12 PACK</t>
        </is>
      </c>
      <c r="I857" s="0">
        <v>316.8</v>
      </c>
      <c r="J857" s="0">
        <v>0</v>
      </c>
    </row>
    <row r="858" spans="1:10" customHeight="0">
      <c r="A858" s="0">
        <f>HYPERLINK("https://dl.dropboxusercontent.com/scl/fi/k53c32n2dvhhewuhamhoz/slate-151969-tn.jpg?rlkey=1afod4ffw2fa5dd1cq7l4rsdd&amp;dl=0","Click to download Image")</f>
      </c>
      <c r="C858" s="0" t="inlineStr">
        <is>
          <t>Slate Youth Girls Short Sleeve Shirt</t>
        </is>
      </c>
      <c r="D858" s="1">
        <v>151213</v>
      </c>
      <c r="E858" s="0" t="inlineStr">
        <is>
          <t>IOWA SLATE Y BK:151213B-YS</t>
        </is>
      </c>
      <c r="F858" s="2">
        <v>800151213010</v>
      </c>
      <c r="G858" s="0" t="inlineStr">
        <is>
          <t>YOUTH</t>
        </is>
      </c>
      <c r="H858" s="0" t="inlineStr">
        <is>
          <t>YS</t>
        </is>
      </c>
      <c r="I858" s="0">
        <v>29.99</v>
      </c>
      <c r="J858" s="0">
        <v>3</v>
      </c>
    </row>
    <row r="859" spans="1:10" customHeight="0">
      <c r="A859" s="0">
        <f>HYPERLINK("https://dl.dropboxusercontent.com/scl/fi/k53c32n2dvhhewuhamhoz/slate-151969-tn.jpg?rlkey=1afod4ffw2fa5dd1cq7l4rsdd&amp;dl=0","Click to download Image")</f>
      </c>
      <c r="C859" s="0" t="inlineStr">
        <is>
          <t>Slate Youth Girls Short Sleeve Shirt</t>
        </is>
      </c>
      <c r="D859" s="1">
        <v>151213</v>
      </c>
      <c r="E859" s="0" t="inlineStr">
        <is>
          <t>IOWA SLATE Y BK:151213C-YM</t>
        </is>
      </c>
      <c r="F859" s="2">
        <v>800151213027</v>
      </c>
      <c r="G859" s="0" t="inlineStr">
        <is>
          <t>YOUTH</t>
        </is>
      </c>
      <c r="H859" s="0" t="inlineStr">
        <is>
          <t>YM</t>
        </is>
      </c>
      <c r="I859" s="0">
        <v>29.99</v>
      </c>
      <c r="J859" s="0">
        <v>0</v>
      </c>
    </row>
    <row r="860" spans="1:10" customHeight="0">
      <c r="A860" s="0">
        <f>HYPERLINK("https://dl.dropboxusercontent.com/scl/fi/k53c32n2dvhhewuhamhoz/slate-151969-tn.jpg?rlkey=1afod4ffw2fa5dd1cq7l4rsdd&amp;dl=0","Click to download Image")</f>
      </c>
      <c r="C860" s="0" t="inlineStr">
        <is>
          <t>Slate Youth Girls Short Sleeve Shirt</t>
        </is>
      </c>
      <c r="D860" s="1">
        <v>151213</v>
      </c>
      <c r="E860" s="0" t="inlineStr">
        <is>
          <t>IOWA SLATE Y BK:151213D-YL</t>
        </is>
      </c>
      <c r="F860" s="2">
        <v>800151213034</v>
      </c>
      <c r="G860" s="0" t="inlineStr">
        <is>
          <t>YOUTH</t>
        </is>
      </c>
      <c r="H860" s="0" t="inlineStr">
        <is>
          <t>YL</t>
        </is>
      </c>
      <c r="I860" s="0">
        <v>29.99</v>
      </c>
      <c r="J860" s="0">
        <v>2</v>
      </c>
    </row>
    <row r="861" spans="1:10" customHeight="0">
      <c r="A861" s="0">
        <f>HYPERLINK("https://dl.dropboxusercontent.com/scl/fi/k53c32n2dvhhewuhamhoz/slate-151969-tn.jpg?rlkey=1afod4ffw2fa5dd1cq7l4rsdd&amp;dl=0","Click to download Image")</f>
      </c>
      <c r="C861" s="0" t="inlineStr">
        <is>
          <t>Slate Youth Girls Short Sleeve Shirt</t>
        </is>
      </c>
      <c r="D861" s="1">
        <v>151213</v>
      </c>
      <c r="E861" s="0" t="inlineStr">
        <is>
          <t>IOWA SLATE Y BK:151213E-YXL</t>
        </is>
      </c>
      <c r="F861" s="2">
        <v>800151213041</v>
      </c>
      <c r="G861" s="0" t="inlineStr">
        <is>
          <t>YOUTH</t>
        </is>
      </c>
      <c r="H861" s="0" t="inlineStr">
        <is>
          <t>YXL</t>
        </is>
      </c>
      <c r="I861" s="0">
        <v>29.99</v>
      </c>
      <c r="J861" s="0">
        <v>2</v>
      </c>
    </row>
    <row r="862" spans="1:10" customHeight="0">
      <c r="A862" s="0">
        <f>HYPERLINK("https://dl.dropboxusercontent.com/scl/fi/k53c32n2dvhhewuhamhoz/slate-151969-tn.jpg?rlkey=1afod4ffw2fa5dd1cq7l4rsdd&amp;dl=0","Click to download Image")</f>
      </c>
      <c r="C862" s="0" t="inlineStr">
        <is>
          <t>Slate Youth Girls Short Sleeve Shirt</t>
        </is>
      </c>
      <c r="D862" s="1">
        <v>151213</v>
      </c>
      <c r="E862" s="0" t="inlineStr">
        <is>
          <t>IOWA SLATE Y BK:151213Z-12PK</t>
        </is>
      </c>
      <c r="F862" s="2">
        <v>800151213997</v>
      </c>
      <c r="G862" s="0" t="inlineStr">
        <is>
          <t>YOUTH</t>
        </is>
      </c>
      <c r="H862" s="0" t="inlineStr">
        <is>
          <t>12 PACK</t>
        </is>
      </c>
      <c r="I862" s="0">
        <v>288</v>
      </c>
      <c r="J862" s="0">
        <v>0</v>
      </c>
    </row>
    <row r="863" spans="1:10" customHeight="0">
      <c r="A863" s="0">
        <f>HYPERLINK("https://dl.dropboxusercontent.com/scl/fi/pfmwvgswnsam19n4c2bp0/slate-151969-tn.jpg?rlkey=vazqovbad5uy2r8vjhq4d4bsh&amp;dl=0","Click to download Image")</f>
      </c>
      <c r="C863" s="0" t="inlineStr">
        <is>
          <t>Slate Toddler Short Sleeve Shirt</t>
        </is>
      </c>
      <c r="D863" s="1">
        <v>151969</v>
      </c>
      <c r="E863" s="0" t="inlineStr">
        <is>
          <t>IOWA SLATE T BK:151969A-2T</t>
        </is>
      </c>
      <c r="F863" s="2">
        <v>800151969085</v>
      </c>
      <c r="G863" s="0" t="inlineStr">
        <is>
          <t>TODDLER</t>
        </is>
      </c>
      <c r="H863" s="0" t="inlineStr">
        <is>
          <t>2T</t>
        </is>
      </c>
      <c r="I863" s="0">
        <v>29.99</v>
      </c>
      <c r="J863" s="0">
        <v>2</v>
      </c>
    </row>
    <row r="864" spans="1:10" customHeight="0">
      <c r="A864" s="0">
        <f>HYPERLINK("https://dl.dropboxusercontent.com/scl/fi/pfmwvgswnsam19n4c2bp0/slate-151969-tn.jpg?rlkey=vazqovbad5uy2r8vjhq4d4bsh&amp;dl=0","Click to download Image")</f>
      </c>
      <c r="C864" s="0" t="inlineStr">
        <is>
          <t>Slate Toddler Short Sleeve Shirt</t>
        </is>
      </c>
      <c r="D864" s="1">
        <v>151969</v>
      </c>
      <c r="E864" s="0" t="inlineStr">
        <is>
          <t>IOWA SLATE T BK:151969B-3T</t>
        </is>
      </c>
      <c r="F864" s="2">
        <v>800151969092</v>
      </c>
      <c r="G864" s="0" t="inlineStr">
        <is>
          <t>TODDLER</t>
        </is>
      </c>
      <c r="H864" s="0" t="inlineStr">
        <is>
          <t>3T</t>
        </is>
      </c>
      <c r="I864" s="0">
        <v>29.99</v>
      </c>
      <c r="J864" s="0">
        <v>2</v>
      </c>
    </row>
    <row r="865" spans="1:10" customHeight="0">
      <c r="A865" s="0">
        <f>HYPERLINK("https://dl.dropboxusercontent.com/scl/fi/pfmwvgswnsam19n4c2bp0/slate-151969-tn.jpg?rlkey=vazqovbad5uy2r8vjhq4d4bsh&amp;dl=0","Click to download Image")</f>
      </c>
      <c r="C865" s="0" t="inlineStr">
        <is>
          <t>Slate Toddler Short Sleeve Shirt</t>
        </is>
      </c>
      <c r="D865" s="1">
        <v>151969</v>
      </c>
      <c r="E865" s="0" t="inlineStr">
        <is>
          <t>IOWA SLATE T BK:151969C-4T</t>
        </is>
      </c>
      <c r="F865" s="2">
        <v>800151969108</v>
      </c>
      <c r="G865" s="0" t="inlineStr">
        <is>
          <t>TODDLER</t>
        </is>
      </c>
      <c r="H865" s="0" t="inlineStr">
        <is>
          <t>4T</t>
        </is>
      </c>
      <c r="I865" s="0">
        <v>29.99</v>
      </c>
      <c r="J865" s="0">
        <v>0</v>
      </c>
    </row>
    <row r="866" spans="1:10" customHeight="0">
      <c r="A866" s="0">
        <f>HYPERLINK("https://dl.dropboxusercontent.com/scl/fi/pfmwvgswnsam19n4c2bp0/slate-151969-tn.jpg?rlkey=vazqovbad5uy2r8vjhq4d4bsh&amp;dl=0","Click to download Image")</f>
      </c>
      <c r="C866" s="0" t="inlineStr">
        <is>
          <t>Slate Toddler Short Sleeve Shirt</t>
        </is>
      </c>
      <c r="D866" s="1">
        <v>151969</v>
      </c>
      <c r="E866" s="0" t="inlineStr">
        <is>
          <t>IOWA SLATE T BK:151969D-5T</t>
        </is>
      </c>
      <c r="F866" s="2">
        <v>800151969115</v>
      </c>
      <c r="G866" s="0" t="inlineStr">
        <is>
          <t>TODDLER</t>
        </is>
      </c>
      <c r="H866" s="0" t="inlineStr">
        <is>
          <t>5T</t>
        </is>
      </c>
      <c r="I866" s="0">
        <v>29.99</v>
      </c>
      <c r="J866" s="0">
        <v>0</v>
      </c>
    </row>
    <row r="867" spans="1:10" customHeight="0">
      <c r="A867" s="0">
        <f>HYPERLINK("https://dl.dropboxusercontent.com/scl/fi/pfmwvgswnsam19n4c2bp0/slate-151969-tn.jpg?rlkey=vazqovbad5uy2r8vjhq4d4bsh&amp;dl=0","Click to download Image")</f>
      </c>
      <c r="C867" s="0" t="inlineStr">
        <is>
          <t>Slate Toddler Short Sleeve Shirt</t>
        </is>
      </c>
      <c r="D867" s="1">
        <v>151969</v>
      </c>
      <c r="E867" s="0" t="inlineStr">
        <is>
          <t>IOWA SLATE T BK:151969Z-12PK</t>
        </is>
      </c>
      <c r="F867" s="2">
        <v>800151969986</v>
      </c>
      <c r="G867" s="0" t="inlineStr">
        <is>
          <t>TODDLER</t>
        </is>
      </c>
      <c r="H867" s="0" t="inlineStr">
        <is>
          <t>12 PACK</t>
        </is>
      </c>
      <c r="I867" s="0">
        <v>288</v>
      </c>
      <c r="J867" s="0">
        <v>0</v>
      </c>
    </row>
    <row r="868" spans="1:10" customHeight="0">
      <c r="A868" s="0">
        <f>HYPERLINK("https://dl.dropboxusercontent.com/scl/fi/yrrpwiema2l7ruhjaly6y/142502t.jpg?rlkey=tgcoe7kjfyhsrpr06mlfgzf0x&amp;dl=0","Click to download Image")</f>
      </c>
      <c r="C868" s="0" t="inlineStr">
        <is>
          <t>Mini Rubber Basketball</t>
        </is>
      </c>
      <c r="D868" s="1">
        <v>142502</v>
      </c>
      <c r="E868" s="0" t="inlineStr">
        <is>
          <t>IOWA BBALL BK:142502</t>
        </is>
      </c>
      <c r="F868" s="2">
        <v>900142502014</v>
      </c>
      <c r="H868" s="0" t="inlineStr">
        <is>
          <t>ONE SIZE</t>
        </is>
      </c>
      <c r="I868" s="0">
        <v>19.99</v>
      </c>
      <c r="J868" s="0">
        <v>5</v>
      </c>
    </row>
    <row r="869" spans="1:10" customHeight="0">
      <c r="A869" s="0">
        <f>HYPERLINK("https://dl.dropboxusercontent.com/scl/fi/vsqrkw8l3vyj0ca7etllk/mock-163531-ia-sharp-y-bc-v1-02.jpg?rlkey=u8yplrqo3vco5bph64fn1wnm8&amp;dl=0","Click to download Image")</f>
      </c>
      <c r="C869" s="0" t="inlineStr">
        <is>
          <t>Sharp Youth Black Camo T-Shirt</t>
        </is>
      </c>
      <c r="D869" s="1">
        <v>163531</v>
      </c>
      <c r="E869" s="0" t="inlineStr">
        <is>
          <t>IOWA SHARP Y BC:163531B-YS</t>
        </is>
      </c>
      <c r="F869" s="2">
        <v>800163531010</v>
      </c>
      <c r="G869" s="0" t="inlineStr">
        <is>
          <t>YOUTH</t>
        </is>
      </c>
      <c r="H869" s="0" t="inlineStr">
        <is>
          <t>YS</t>
        </is>
      </c>
      <c r="I869" s="0">
        <v>29.99</v>
      </c>
      <c r="J869" s="0">
        <v>19</v>
      </c>
    </row>
    <row r="870" spans="1:10" customHeight="0">
      <c r="A870" s="0">
        <f>HYPERLINK("https://dl.dropboxusercontent.com/scl/fi/vsqrkw8l3vyj0ca7etllk/mock-163531-ia-sharp-y-bc-v1-02.jpg?rlkey=u8yplrqo3vco5bph64fn1wnm8&amp;dl=0","Click to download Image")</f>
      </c>
      <c r="C870" s="0" t="inlineStr">
        <is>
          <t>Sharp Youth Black Camo T-Shirt</t>
        </is>
      </c>
      <c r="D870" s="1">
        <v>163531</v>
      </c>
      <c r="E870" s="0" t="inlineStr">
        <is>
          <t>IOWA SHARP Y BC:163531C-YM</t>
        </is>
      </c>
      <c r="F870" s="2">
        <v>800163531027</v>
      </c>
      <c r="G870" s="0" t="inlineStr">
        <is>
          <t>YOUTH</t>
        </is>
      </c>
      <c r="H870" s="0" t="inlineStr">
        <is>
          <t>YM</t>
        </is>
      </c>
      <c r="I870" s="0">
        <v>29.99</v>
      </c>
      <c r="J870" s="0">
        <v>15</v>
      </c>
    </row>
    <row r="871" spans="1:10" customHeight="0">
      <c r="A871" s="0">
        <f>HYPERLINK("https://dl.dropboxusercontent.com/scl/fi/vsqrkw8l3vyj0ca7etllk/mock-163531-ia-sharp-y-bc-v1-02.jpg?rlkey=u8yplrqo3vco5bph64fn1wnm8&amp;dl=0","Click to download Image")</f>
      </c>
      <c r="C871" s="0" t="inlineStr">
        <is>
          <t>Sharp Youth Black Camo T-Shirt</t>
        </is>
      </c>
      <c r="D871" s="1">
        <v>163531</v>
      </c>
      <c r="E871" s="0" t="inlineStr">
        <is>
          <t>IOWA SHARP Y BC:163531D-YL</t>
        </is>
      </c>
      <c r="F871" s="2">
        <v>800163531034</v>
      </c>
      <c r="G871" s="0" t="inlineStr">
        <is>
          <t>YOUTH</t>
        </is>
      </c>
      <c r="H871" s="0" t="inlineStr">
        <is>
          <t>YL</t>
        </is>
      </c>
      <c r="I871" s="0">
        <v>29.99</v>
      </c>
      <c r="J871" s="0">
        <v>18</v>
      </c>
    </row>
    <row r="872" spans="1:10" customHeight="0">
      <c r="A872" s="0">
        <f>HYPERLINK("https://dl.dropboxusercontent.com/scl/fi/vsqrkw8l3vyj0ca7etllk/mock-163531-ia-sharp-y-bc-v1-02.jpg?rlkey=u8yplrqo3vco5bph64fn1wnm8&amp;dl=0","Click to download Image")</f>
      </c>
      <c r="C872" s="0" t="inlineStr">
        <is>
          <t>Sharp Youth Black Camo T-Shirt</t>
        </is>
      </c>
      <c r="D872" s="1">
        <v>163531</v>
      </c>
      <c r="E872" s="0" t="inlineStr">
        <is>
          <t>IOWA SHARP Y BC:163531E-YXL</t>
        </is>
      </c>
      <c r="F872" s="2">
        <v>800163531041</v>
      </c>
      <c r="G872" s="0" t="inlineStr">
        <is>
          <t>YOUTH</t>
        </is>
      </c>
      <c r="H872" s="0" t="inlineStr">
        <is>
          <t>YXL</t>
        </is>
      </c>
      <c r="I872" s="0">
        <v>29.99</v>
      </c>
      <c r="J872" s="0">
        <v>18</v>
      </c>
    </row>
    <row r="873" spans="1:10" customHeight="0">
      <c r="A873" s="0">
        <f>HYPERLINK("https://dl.dropboxusercontent.com/scl/fi/2y9od0softckpa9v9sx7a/sideline-136332-af.jpg?rlkey=o0iewlqvyuv7csoutiqvvsnfg&amp;dl=0","Click to download Image")</f>
      </c>
      <c r="C873" s="0" t="inlineStr">
        <is>
          <t>Sideline Fanny Pack</t>
        </is>
      </c>
      <c r="D873" s="1">
        <v>136332</v>
      </c>
      <c r="E873" s="0" t="inlineStr">
        <is>
          <t>IOWA SIDELI CR:136332</t>
        </is>
      </c>
      <c r="F873" s="2">
        <v>900136332016</v>
      </c>
      <c r="I873" s="0">
        <v>19.99</v>
      </c>
      <c r="J873" s="0">
        <v>67</v>
      </c>
    </row>
    <row r="874" spans="1:10" customHeight="0">
      <c r="A874" s="0">
        <f>HYPERLINK("https://dl.dropboxusercontent.com/scl/fi/78r8ntr7c1i7dndft26a8/134036-af.jpg?rlkey=jaapfu24reffcwkdqhm70txwa&amp;dl=0","Click to download Image")</f>
      </c>
      <c r="B874" s="0">
        <f>HYPERLINK("https://dl.dropboxusercontent.com/scl/fi/55hv8pu954yr5yw91v18j/graphic-update2022-youth.jpg?rlkey=nlnj28etw0hpqqn0snbq2lw9v&amp;dl=0","Click to download SizeChart")</f>
      </c>
      <c r="C874" s="0" t="inlineStr">
        <is>
          <t>Court Youth Pullover</t>
        </is>
      </c>
      <c r="D874" s="0" t="inlineStr">
        <is>
          <t>13244Y</t>
        </is>
      </c>
      <c r="E874" s="0" t="inlineStr">
        <is>
          <t>IOWA COURT Y BK:Y13244B-YS</t>
        </is>
      </c>
      <c r="F874" s="2">
        <v>800132448011</v>
      </c>
      <c r="G874" s="0" t="inlineStr">
        <is>
          <t>YOUTH</t>
        </is>
      </c>
      <c r="H874" s="0" t="inlineStr">
        <is>
          <t>YS</t>
        </is>
      </c>
      <c r="I874" s="0">
        <v>42.99</v>
      </c>
      <c r="J874" s="0">
        <v>6</v>
      </c>
    </row>
    <row r="875" spans="1:10" customHeight="0">
      <c r="A875" s="0">
        <f>HYPERLINK("https://dl.dropboxusercontent.com/scl/fi/78r8ntr7c1i7dndft26a8/134036-af.jpg?rlkey=jaapfu24reffcwkdqhm70txwa&amp;dl=0","Click to download Image")</f>
      </c>
      <c r="B875" s="0">
        <f>HYPERLINK("https://dl.dropboxusercontent.com/scl/fi/55hv8pu954yr5yw91v18j/graphic-update2022-youth.jpg?rlkey=nlnj28etw0hpqqn0snbq2lw9v&amp;dl=0","Click to download SizeChart")</f>
      </c>
      <c r="C875" s="0" t="inlineStr">
        <is>
          <t>Court Youth Pullover</t>
        </is>
      </c>
      <c r="D875" s="0" t="inlineStr">
        <is>
          <t>13244Y</t>
        </is>
      </c>
      <c r="E875" s="0" t="inlineStr">
        <is>
          <t>IOWA COURT Y BK:Y13244C-YM</t>
        </is>
      </c>
      <c r="F875" s="2">
        <v>800132448028</v>
      </c>
      <c r="G875" s="0" t="inlineStr">
        <is>
          <t>YOUTH</t>
        </is>
      </c>
      <c r="H875" s="0" t="inlineStr">
        <is>
          <t>YM</t>
        </is>
      </c>
      <c r="I875" s="0">
        <v>42.99</v>
      </c>
      <c r="J875" s="0">
        <v>7</v>
      </c>
    </row>
    <row r="876" spans="1:10" customHeight="0">
      <c r="A876" s="0">
        <f>HYPERLINK("https://dl.dropboxusercontent.com/scl/fi/78r8ntr7c1i7dndft26a8/134036-af.jpg?rlkey=jaapfu24reffcwkdqhm70txwa&amp;dl=0","Click to download Image")</f>
      </c>
      <c r="B876" s="0">
        <f>HYPERLINK("https://dl.dropboxusercontent.com/scl/fi/55hv8pu954yr5yw91v18j/graphic-update2022-youth.jpg?rlkey=nlnj28etw0hpqqn0snbq2lw9v&amp;dl=0","Click to download SizeChart")</f>
      </c>
      <c r="C876" s="0" t="inlineStr">
        <is>
          <t>Court Youth Pullover</t>
        </is>
      </c>
      <c r="D876" s="0" t="inlineStr">
        <is>
          <t>13244Y</t>
        </is>
      </c>
      <c r="E876" s="0" t="inlineStr">
        <is>
          <t>IOWA COURT Y BK:Y13244D-YL</t>
        </is>
      </c>
      <c r="F876" s="2">
        <v>800132448035</v>
      </c>
      <c r="G876" s="0" t="inlineStr">
        <is>
          <t>YOUTH</t>
        </is>
      </c>
      <c r="H876" s="0" t="inlineStr">
        <is>
          <t>YL</t>
        </is>
      </c>
      <c r="I876" s="0">
        <v>42.99</v>
      </c>
      <c r="J876" s="0">
        <v>6</v>
      </c>
    </row>
    <row r="877" spans="1:10" customHeight="0">
      <c r="A877" s="0">
        <f>HYPERLINK("https://dl.dropboxusercontent.com/scl/fi/78r8ntr7c1i7dndft26a8/134036-af.jpg?rlkey=jaapfu24reffcwkdqhm70txwa&amp;dl=0","Click to download Image")</f>
      </c>
      <c r="B877" s="0">
        <f>HYPERLINK("https://dl.dropboxusercontent.com/scl/fi/55hv8pu954yr5yw91v18j/graphic-update2022-youth.jpg?rlkey=nlnj28etw0hpqqn0snbq2lw9v&amp;dl=0","Click to download SizeChart")</f>
      </c>
      <c r="C877" s="0" t="inlineStr">
        <is>
          <t>Court Youth Pullover</t>
        </is>
      </c>
      <c r="D877" s="0" t="inlineStr">
        <is>
          <t>13244Y</t>
        </is>
      </c>
      <c r="E877" s="0" t="inlineStr">
        <is>
          <t>IOWA COURT Y BK:Y13244E-YXL</t>
        </is>
      </c>
      <c r="F877" s="2">
        <v>800132448042</v>
      </c>
      <c r="G877" s="0" t="inlineStr">
        <is>
          <t>YOUTH</t>
        </is>
      </c>
      <c r="H877" s="0" t="inlineStr">
        <is>
          <t>YXL</t>
        </is>
      </c>
      <c r="I877" s="0">
        <v>42.99</v>
      </c>
      <c r="J877" s="0">
        <v>7</v>
      </c>
    </row>
    <row r="878" spans="1:10" customHeight="0">
      <c r="A878" s="0">
        <f>HYPERLINK("https://dl.dropboxusercontent.com/scl/fi/78r8ntr7c1i7dndft26a8/134036-af.jpg?rlkey=jaapfu24reffcwkdqhm70txwa&amp;dl=0","Click to download Image")</f>
      </c>
      <c r="B878" s="0">
        <f>HYPERLINK("https://dl.dropboxusercontent.com/scl/fi/55hv8pu954yr5yw91v18j/graphic-update2022-youth.jpg?rlkey=nlnj28etw0hpqqn0snbq2lw9v&amp;dl=0","Click to download SizeChart")</f>
      </c>
      <c r="C878" s="0" t="inlineStr">
        <is>
          <t>Court Youth Pullover</t>
        </is>
      </c>
      <c r="D878" s="0" t="inlineStr">
        <is>
          <t>13244Y</t>
        </is>
      </c>
      <c r="E878" s="0" t="inlineStr">
        <is>
          <t>IOWA COURT Y BK 12PK:Y13244Z-12PK</t>
        </is>
      </c>
      <c r="F878" s="2">
        <v>800132448998</v>
      </c>
      <c r="G878" s="0" t="inlineStr">
        <is>
          <t>YOUTH</t>
        </is>
      </c>
      <c r="H878" s="0" t="inlineStr">
        <is>
          <t>12 PACK</t>
        </is>
      </c>
      <c r="I878" s="0">
        <v>412.7</v>
      </c>
      <c r="J878" s="0">
        <v>0</v>
      </c>
    </row>
    <row r="879" spans="1:10" customHeight="0">
      <c r="A879" s="0">
        <f>HYPERLINK("https://dl.dropboxusercontent.com/scl/fi/24r68chzz9umw7ciighvk/thea-134634-t.jpg?rlkey=e9zcvlal6i5jyrchcv9knn2xc&amp;dl=0","Click to download Image")</f>
      </c>
      <c r="B879" s="0">
        <f>HYPERLINK("https://dl.dropboxusercontent.com/scl/fi/mdphp9pw1ilixr5z30j9j/womens-hoodie-and-sweatshirt-size-chartsthea-hz.jpg?rlkey=ybcudgqt6qo0rib5dif6gm2ez&amp;dl=0","Click to download SizeChart")</f>
      </c>
      <c r="C879" s="0" t="inlineStr">
        <is>
          <t>Thea Women's Lightweight Hoodie</t>
        </is>
      </c>
      <c r="D879" s="1">
        <v>134634</v>
      </c>
      <c r="E879" s="0" t="inlineStr">
        <is>
          <t>IOWA THEA W BK:134634A-S</t>
        </is>
      </c>
      <c r="F879" s="2">
        <v>800134634047</v>
      </c>
      <c r="G879" s="0" t="inlineStr">
        <is>
          <t>WOMENS</t>
        </is>
      </c>
      <c r="H879" s="0" t="inlineStr">
        <is>
          <t>S</t>
        </is>
      </c>
      <c r="I879" s="0">
        <v>52.99</v>
      </c>
      <c r="J879" s="0">
        <v>4</v>
      </c>
    </row>
    <row r="880" spans="1:10" customHeight="0">
      <c r="A880" s="0">
        <f>HYPERLINK("https://dl.dropboxusercontent.com/scl/fi/24r68chzz9umw7ciighvk/thea-134634-t.jpg?rlkey=e9zcvlal6i5jyrchcv9knn2xc&amp;dl=0","Click to download Image")</f>
      </c>
      <c r="B880" s="0">
        <f>HYPERLINK("https://dl.dropboxusercontent.com/scl/fi/mdphp9pw1ilixr5z30j9j/womens-hoodie-and-sweatshirt-size-chartsthea-hz.jpg?rlkey=ybcudgqt6qo0rib5dif6gm2ez&amp;dl=0","Click to download SizeChart")</f>
      </c>
      <c r="C880" s="0" t="inlineStr">
        <is>
          <t>Thea Women's Lightweight Hoodie</t>
        </is>
      </c>
      <c r="D880" s="1">
        <v>134634</v>
      </c>
      <c r="E880" s="0" t="inlineStr">
        <is>
          <t>IOWA THEA W BK:134634B-M</t>
        </is>
      </c>
      <c r="F880" s="2">
        <v>800134634054</v>
      </c>
      <c r="G880" s="0" t="inlineStr">
        <is>
          <t>WOMENS</t>
        </is>
      </c>
      <c r="H880" s="0" t="inlineStr">
        <is>
          <t>M</t>
        </is>
      </c>
      <c r="I880" s="0">
        <v>52.99</v>
      </c>
      <c r="J880" s="0">
        <v>10</v>
      </c>
    </row>
    <row r="881" spans="1:10" customHeight="0">
      <c r="A881" s="0">
        <f>HYPERLINK("https://dl.dropboxusercontent.com/scl/fi/24r68chzz9umw7ciighvk/thea-134634-t.jpg?rlkey=e9zcvlal6i5jyrchcv9knn2xc&amp;dl=0","Click to download Image")</f>
      </c>
      <c r="B881" s="0">
        <f>HYPERLINK("https://dl.dropboxusercontent.com/scl/fi/mdphp9pw1ilixr5z30j9j/womens-hoodie-and-sweatshirt-size-chartsthea-hz.jpg?rlkey=ybcudgqt6qo0rib5dif6gm2ez&amp;dl=0","Click to download SizeChart")</f>
      </c>
      <c r="C881" s="0" t="inlineStr">
        <is>
          <t>Thea Women's Lightweight Hoodie</t>
        </is>
      </c>
      <c r="D881" s="1">
        <v>134634</v>
      </c>
      <c r="E881" s="0" t="inlineStr">
        <is>
          <t>IOWA THEA W BK:134634C-L</t>
        </is>
      </c>
      <c r="F881" s="2">
        <v>800134634061</v>
      </c>
      <c r="G881" s="0" t="inlineStr">
        <is>
          <t>WOMENS</t>
        </is>
      </c>
      <c r="H881" s="0" t="inlineStr">
        <is>
          <t>L</t>
        </is>
      </c>
      <c r="I881" s="0">
        <v>52.99</v>
      </c>
      <c r="J881" s="0">
        <v>11</v>
      </c>
    </row>
    <row r="882" spans="1:10" customHeight="0">
      <c r="A882" s="0">
        <f>HYPERLINK("https://dl.dropboxusercontent.com/scl/fi/24r68chzz9umw7ciighvk/thea-134634-t.jpg?rlkey=e9zcvlal6i5jyrchcv9knn2xc&amp;dl=0","Click to download Image")</f>
      </c>
      <c r="B882" s="0">
        <f>HYPERLINK("https://dl.dropboxusercontent.com/scl/fi/mdphp9pw1ilixr5z30j9j/womens-hoodie-and-sweatshirt-size-chartsthea-hz.jpg?rlkey=ybcudgqt6qo0rib5dif6gm2ez&amp;dl=0","Click to download SizeChart")</f>
      </c>
      <c r="C882" s="0" t="inlineStr">
        <is>
          <t>Thea Women's Lightweight Hoodie</t>
        </is>
      </c>
      <c r="D882" s="1">
        <v>134634</v>
      </c>
      <c r="E882" s="0" t="inlineStr">
        <is>
          <t>IOWA THEA W BK:134634D-XL</t>
        </is>
      </c>
      <c r="F882" s="2">
        <v>800134634078</v>
      </c>
      <c r="G882" s="0" t="inlineStr">
        <is>
          <t>WOMENS</t>
        </is>
      </c>
      <c r="H882" s="0" t="inlineStr">
        <is>
          <t>XL</t>
        </is>
      </c>
      <c r="I882" s="0">
        <v>52.99</v>
      </c>
      <c r="J882" s="0">
        <v>5</v>
      </c>
    </row>
    <row r="883" spans="1:10" customHeight="0">
      <c r="A883" s="0">
        <f>HYPERLINK("https://dl.dropboxusercontent.com/scl/fi/24r68chzz9umw7ciighvk/thea-134634-t.jpg?rlkey=e9zcvlal6i5jyrchcv9knn2xc&amp;dl=0","Click to download Image")</f>
      </c>
      <c r="B883" s="0">
        <f>HYPERLINK("https://dl.dropboxusercontent.com/scl/fi/mdphp9pw1ilixr5z30j9j/womens-hoodie-and-sweatshirt-size-chartsthea-hz.jpg?rlkey=ybcudgqt6qo0rib5dif6gm2ez&amp;dl=0","Click to download SizeChart")</f>
      </c>
      <c r="C883" s="0" t="inlineStr">
        <is>
          <t>Thea Women's Lightweight Hoodie</t>
        </is>
      </c>
      <c r="D883" s="1">
        <v>134634</v>
      </c>
      <c r="E883" s="0" t="inlineStr">
        <is>
          <t>IOWA THEA W BK:134634E-2XL</t>
        </is>
      </c>
      <c r="F883" s="2">
        <v>800134634085</v>
      </c>
      <c r="G883" s="0" t="inlineStr">
        <is>
          <t>WOMENS</t>
        </is>
      </c>
      <c r="H883" s="0" t="inlineStr">
        <is>
          <t>2XL</t>
        </is>
      </c>
      <c r="I883" s="0">
        <v>54.99</v>
      </c>
      <c r="J883" s="0">
        <v>2</v>
      </c>
    </row>
    <row r="884" spans="1:10" customHeight="0">
      <c r="A884" s="0">
        <f>HYPERLINK("https://dl.dropboxusercontent.com/scl/fi/24r68chzz9umw7ciighvk/thea-134634-t.jpg?rlkey=e9zcvlal6i5jyrchcv9knn2xc&amp;dl=0","Click to download Image")</f>
      </c>
      <c r="B884" s="0">
        <f>HYPERLINK("https://dl.dropboxusercontent.com/scl/fi/mdphp9pw1ilixr5z30j9j/womens-hoodie-and-sweatshirt-size-chartsthea-hz.jpg?rlkey=ybcudgqt6qo0rib5dif6gm2ez&amp;dl=0","Click to download SizeChart")</f>
      </c>
      <c r="C884" s="0" t="inlineStr">
        <is>
          <t>Thea Women's Lightweight Hoodie</t>
        </is>
      </c>
      <c r="D884" s="1">
        <v>134634</v>
      </c>
      <c r="E884" s="0" t="inlineStr">
        <is>
          <t>IOWA THEA W BK:134634F-3XL</t>
        </is>
      </c>
      <c r="F884" s="2">
        <v>800134634092</v>
      </c>
      <c r="G884" s="0" t="inlineStr">
        <is>
          <t>WOMENS</t>
        </is>
      </c>
      <c r="H884" s="0" t="inlineStr">
        <is>
          <t>3XL</t>
        </is>
      </c>
      <c r="I884" s="0">
        <v>54.99</v>
      </c>
      <c r="J884" s="0">
        <v>6</v>
      </c>
    </row>
    <row r="885" spans="1:10" customHeight="0">
      <c r="A885" s="0">
        <f>HYPERLINK("https://dl.dropboxusercontent.com/scl/fi/24r68chzz9umw7ciighvk/thea-134634-t.jpg?rlkey=e9zcvlal6i5jyrchcv9knn2xc&amp;dl=0","Click to download Image")</f>
      </c>
      <c r="B885" s="0">
        <f>HYPERLINK("https://dl.dropboxusercontent.com/scl/fi/mdphp9pw1ilixr5z30j9j/womens-hoodie-and-sweatshirt-size-chartsthea-hz.jpg?rlkey=ybcudgqt6qo0rib5dif6gm2ez&amp;dl=0","Click to download SizeChart")</f>
      </c>
      <c r="C885" s="0" t="inlineStr">
        <is>
          <t>Thea Women's Lightweight Hoodie</t>
        </is>
      </c>
      <c r="D885" s="1">
        <v>134634</v>
      </c>
      <c r="E885" s="0" t="inlineStr">
        <is>
          <t>IOWA THEA W BK 12PK:134634Z-12PK</t>
        </is>
      </c>
      <c r="F885" s="2">
        <v>800134634993</v>
      </c>
      <c r="G885" s="0" t="inlineStr">
        <is>
          <t>WOMENS</t>
        </is>
      </c>
      <c r="H885" s="0" t="inlineStr">
        <is>
          <t>12 PACK</t>
        </is>
      </c>
      <c r="I885" s="0">
        <v>508.7</v>
      </c>
      <c r="J885" s="0">
        <v>0</v>
      </c>
    </row>
    <row r="886" spans="1:10" customHeight="0">
      <c r="A886" s="0">
        <f>HYPERLINK("https://dl.dropboxusercontent.com/scl/fi/994qikhczqry8awcguzsz/mock-iowa-thea-w-bk-v1-02.jpg?rlkey=murboqky6159iu9dgy47q0pll&amp;dl=0","Click to download Image")</f>
      </c>
      <c r="B886" s="0">
        <f>HYPERLINK("https://dl.dropboxusercontent.com/scl/fi/mdphp9pw1ilixr5z30j9j/womens-hoodie-and-sweatshirt-size-chartsthea-hz.jpg?rlkey=ybcudgqt6qo0rib5dif6gm2ez&amp;dl=0","Click to download SizeChart")</f>
      </c>
      <c r="C886" s="0" t="inlineStr">
        <is>
          <t>Thea Women's Lightweight Hoodie</t>
        </is>
      </c>
      <c r="D886" s="1">
        <v>164366</v>
      </c>
      <c r="E886" s="0" t="inlineStr">
        <is>
          <t>IOWA THEA W BK:164366A-S</t>
        </is>
      </c>
      <c r="F886" s="2">
        <v>800164366048</v>
      </c>
      <c r="G886" s="0" t="inlineStr">
        <is>
          <t>WOMENS</t>
        </is>
      </c>
      <c r="H886" s="0" t="inlineStr">
        <is>
          <t>S</t>
        </is>
      </c>
      <c r="I886" s="0">
        <v>52.99</v>
      </c>
      <c r="J886" s="0">
        <v>13</v>
      </c>
    </row>
    <row r="887" spans="1:10" customHeight="0">
      <c r="A887" s="0">
        <f>HYPERLINK("https://dl.dropboxusercontent.com/scl/fi/994qikhczqry8awcguzsz/mock-iowa-thea-w-bk-v1-02.jpg?rlkey=murboqky6159iu9dgy47q0pll&amp;dl=0","Click to download Image")</f>
      </c>
      <c r="B887" s="0">
        <f>HYPERLINK("https://dl.dropboxusercontent.com/scl/fi/mdphp9pw1ilixr5z30j9j/womens-hoodie-and-sweatshirt-size-chartsthea-hz.jpg?rlkey=ybcudgqt6qo0rib5dif6gm2ez&amp;dl=0","Click to download SizeChart")</f>
      </c>
      <c r="C887" s="0" t="inlineStr">
        <is>
          <t>Thea Women's Lightweight Hoodie</t>
        </is>
      </c>
      <c r="D887" s="1">
        <v>164366</v>
      </c>
      <c r="E887" s="0" t="inlineStr">
        <is>
          <t>IOWA THEA W BK:164366B-M</t>
        </is>
      </c>
      <c r="F887" s="2">
        <v>800164366055</v>
      </c>
      <c r="G887" s="0" t="inlineStr">
        <is>
          <t>WOMENS</t>
        </is>
      </c>
      <c r="H887" s="0" t="inlineStr">
        <is>
          <t>M</t>
        </is>
      </c>
      <c r="I887" s="0">
        <v>52.99</v>
      </c>
      <c r="J887" s="0">
        <v>13</v>
      </c>
    </row>
    <row r="888" spans="1:10" customHeight="0">
      <c r="A888" s="0">
        <f>HYPERLINK("https://dl.dropboxusercontent.com/scl/fi/994qikhczqry8awcguzsz/mock-iowa-thea-w-bk-v1-02.jpg?rlkey=murboqky6159iu9dgy47q0pll&amp;dl=0","Click to download Image")</f>
      </c>
      <c r="B888" s="0">
        <f>HYPERLINK("https://dl.dropboxusercontent.com/scl/fi/mdphp9pw1ilixr5z30j9j/womens-hoodie-and-sweatshirt-size-chartsthea-hz.jpg?rlkey=ybcudgqt6qo0rib5dif6gm2ez&amp;dl=0","Click to download SizeChart")</f>
      </c>
      <c r="C888" s="0" t="inlineStr">
        <is>
          <t>Thea Women's Lightweight Hoodie</t>
        </is>
      </c>
      <c r="D888" s="1">
        <v>164366</v>
      </c>
      <c r="E888" s="0" t="inlineStr">
        <is>
          <t>IOWA THEA W BK:164366C-L</t>
        </is>
      </c>
      <c r="F888" s="2">
        <v>800164366062</v>
      </c>
      <c r="G888" s="0" t="inlineStr">
        <is>
          <t>WOMENS</t>
        </is>
      </c>
      <c r="H888" s="0" t="inlineStr">
        <is>
          <t>L</t>
        </is>
      </c>
      <c r="I888" s="0">
        <v>52.99</v>
      </c>
      <c r="J888" s="0">
        <v>13</v>
      </c>
    </row>
    <row r="889" spans="1:10" customHeight="0">
      <c r="A889" s="0">
        <f>HYPERLINK("https://dl.dropboxusercontent.com/scl/fi/994qikhczqry8awcguzsz/mock-iowa-thea-w-bk-v1-02.jpg?rlkey=murboqky6159iu9dgy47q0pll&amp;dl=0","Click to download Image")</f>
      </c>
      <c r="B889" s="0">
        <f>HYPERLINK("https://dl.dropboxusercontent.com/scl/fi/mdphp9pw1ilixr5z30j9j/womens-hoodie-and-sweatshirt-size-chartsthea-hz.jpg?rlkey=ybcudgqt6qo0rib5dif6gm2ez&amp;dl=0","Click to download SizeChart")</f>
      </c>
      <c r="C889" s="0" t="inlineStr">
        <is>
          <t>Thea Women's Lightweight Hoodie</t>
        </is>
      </c>
      <c r="D889" s="1">
        <v>164366</v>
      </c>
      <c r="E889" s="0" t="inlineStr">
        <is>
          <t>IOWA THEA W BK:164366D-XL</t>
        </is>
      </c>
      <c r="F889" s="2">
        <v>800164366079</v>
      </c>
      <c r="G889" s="0" t="inlineStr">
        <is>
          <t>WOMENS</t>
        </is>
      </c>
      <c r="H889" s="0" t="inlineStr">
        <is>
          <t>XL</t>
        </is>
      </c>
      <c r="I889" s="0">
        <v>52.99</v>
      </c>
      <c r="J889" s="0">
        <v>12</v>
      </c>
    </row>
    <row r="890" spans="1:10" customHeight="0">
      <c r="A890" s="0">
        <f>HYPERLINK("https://dl.dropboxusercontent.com/scl/fi/994qikhczqry8awcguzsz/mock-iowa-thea-w-bk-v1-02.jpg?rlkey=murboqky6159iu9dgy47q0pll&amp;dl=0","Click to download Image")</f>
      </c>
      <c r="B890" s="0">
        <f>HYPERLINK("https://dl.dropboxusercontent.com/scl/fi/mdphp9pw1ilixr5z30j9j/womens-hoodie-and-sweatshirt-size-chartsthea-hz.jpg?rlkey=ybcudgqt6qo0rib5dif6gm2ez&amp;dl=0","Click to download SizeChart")</f>
      </c>
      <c r="C890" s="0" t="inlineStr">
        <is>
          <t>Thea Women's Lightweight Hoodie</t>
        </is>
      </c>
      <c r="D890" s="1">
        <v>164366</v>
      </c>
      <c r="E890" s="0" t="inlineStr">
        <is>
          <t>IOWA THEA W BK:164366E-2XL</t>
        </is>
      </c>
      <c r="F890" s="2">
        <v>800164366086</v>
      </c>
      <c r="G890" s="0" t="inlineStr">
        <is>
          <t>WOMENS</t>
        </is>
      </c>
      <c r="H890" s="0" t="inlineStr">
        <is>
          <t>2XL</t>
        </is>
      </c>
      <c r="I890" s="0">
        <v>54.99</v>
      </c>
      <c r="J890" s="0">
        <v>4</v>
      </c>
    </row>
    <row r="891" spans="1:10" customHeight="0">
      <c r="A891" s="0">
        <f>HYPERLINK("https://dl.dropboxusercontent.com/scl/fi/994qikhczqry8awcguzsz/mock-iowa-thea-w-bk-v1-02.jpg?rlkey=murboqky6159iu9dgy47q0pll&amp;dl=0","Click to download Image")</f>
      </c>
      <c r="B891" s="0">
        <f>HYPERLINK("https://dl.dropboxusercontent.com/scl/fi/mdphp9pw1ilixr5z30j9j/womens-hoodie-and-sweatshirt-size-chartsthea-hz.jpg?rlkey=ybcudgqt6qo0rib5dif6gm2ez&amp;dl=0","Click to download SizeChart")</f>
      </c>
      <c r="C891" s="0" t="inlineStr">
        <is>
          <t>Thea Women's Lightweight Hoodie</t>
        </is>
      </c>
      <c r="D891" s="1">
        <v>164366</v>
      </c>
      <c r="E891" s="0" t="inlineStr">
        <is>
          <t>IOWA THEA W BK:164366F-3XL</t>
        </is>
      </c>
      <c r="F891" s="2">
        <v>800164366093</v>
      </c>
      <c r="G891" s="0" t="inlineStr">
        <is>
          <t>WOMENS</t>
        </is>
      </c>
      <c r="H891" s="0" t="inlineStr">
        <is>
          <t>3XL</t>
        </is>
      </c>
      <c r="I891" s="0">
        <v>54.99</v>
      </c>
      <c r="J891" s="0">
        <v>5</v>
      </c>
    </row>
    <row r="892" spans="1:10" customHeight="0">
      <c r="A892" s="0">
        <f>HYPERLINK("https://dl.dropboxusercontent.com/scl/fi/ifqmji7g2dbdc2o5z5du8/chloe73816.jpg?rlkey=48bifssza1zl5gu5kfpz2zk02&amp;dl=0","Click to download Image")</f>
      </c>
      <c r="B892" s="0">
        <f>HYPERLINK("https://dl.dropboxusercontent.com/scl/fi/bnikw2ysg3dl7nisfhmht/graphic-update2022-womens-no-inseam.jpg?rlkey=8w805lrf9avstpktbjb4wx63t&amp;dl=0","Click to download SizeChart")</f>
      </c>
      <c r="C892" s="0" t="inlineStr">
        <is>
          <t>Chloe Women's Leggings</t>
        </is>
      </c>
      <c r="D892" s="1">
        <v>134740</v>
      </c>
      <c r="E892" s="0" t="inlineStr">
        <is>
          <t>IOWA CHLOE W BK:134740A-S</t>
        </is>
      </c>
      <c r="F892" s="2">
        <v>800134740014</v>
      </c>
      <c r="G892" s="0" t="inlineStr">
        <is>
          <t>WOMENS</t>
        </is>
      </c>
      <c r="H892" s="0" t="inlineStr">
        <is>
          <t>S</t>
        </is>
      </c>
      <c r="I892" s="0">
        <v>54.99</v>
      </c>
      <c r="J892" s="0">
        <v>10</v>
      </c>
    </row>
    <row r="893" spans="1:10" customHeight="0">
      <c r="A893" s="0">
        <f>HYPERLINK("https://dl.dropboxusercontent.com/scl/fi/ifqmji7g2dbdc2o5z5du8/chloe73816.jpg?rlkey=48bifssza1zl5gu5kfpz2zk02&amp;dl=0","Click to download Image")</f>
      </c>
      <c r="B893" s="0">
        <f>HYPERLINK("https://dl.dropboxusercontent.com/scl/fi/bnikw2ysg3dl7nisfhmht/graphic-update2022-womens-no-inseam.jpg?rlkey=8w805lrf9avstpktbjb4wx63t&amp;dl=0","Click to download SizeChart")</f>
      </c>
      <c r="C893" s="0" t="inlineStr">
        <is>
          <t>Chloe Women's Leggings</t>
        </is>
      </c>
      <c r="D893" s="1">
        <v>134740</v>
      </c>
      <c r="E893" s="0" t="inlineStr">
        <is>
          <t>IOWA CHLOE W BK:134740B-M</t>
        </is>
      </c>
      <c r="F893" s="2">
        <v>800134740021</v>
      </c>
      <c r="G893" s="0" t="inlineStr">
        <is>
          <t>WOMENS</t>
        </is>
      </c>
      <c r="H893" s="0" t="inlineStr">
        <is>
          <t>M</t>
        </is>
      </c>
      <c r="I893" s="0">
        <v>54.99</v>
      </c>
      <c r="J893" s="0">
        <v>27</v>
      </c>
    </row>
    <row r="894" spans="1:10" customHeight="0">
      <c r="A894" s="0">
        <f>HYPERLINK("https://dl.dropboxusercontent.com/scl/fi/ifqmji7g2dbdc2o5z5du8/chloe73816.jpg?rlkey=48bifssza1zl5gu5kfpz2zk02&amp;dl=0","Click to download Image")</f>
      </c>
      <c r="B894" s="0">
        <f>HYPERLINK("https://dl.dropboxusercontent.com/scl/fi/bnikw2ysg3dl7nisfhmht/graphic-update2022-womens-no-inseam.jpg?rlkey=8w805lrf9avstpktbjb4wx63t&amp;dl=0","Click to download SizeChart")</f>
      </c>
      <c r="C894" s="0" t="inlineStr">
        <is>
          <t>Chloe Women's Leggings</t>
        </is>
      </c>
      <c r="D894" s="1">
        <v>134740</v>
      </c>
      <c r="E894" s="0" t="inlineStr">
        <is>
          <t>IOWA CHLOE W BK:134740C-L</t>
        </is>
      </c>
      <c r="F894" s="2">
        <v>800134740038</v>
      </c>
      <c r="G894" s="0" t="inlineStr">
        <is>
          <t>WOMENS</t>
        </is>
      </c>
      <c r="H894" s="0" t="inlineStr">
        <is>
          <t>L</t>
        </is>
      </c>
      <c r="I894" s="0">
        <v>54.99</v>
      </c>
      <c r="J894" s="0">
        <v>25</v>
      </c>
    </row>
    <row r="895" spans="1:10" customHeight="0">
      <c r="A895" s="0">
        <f>HYPERLINK("https://dl.dropboxusercontent.com/scl/fi/ifqmji7g2dbdc2o5z5du8/chloe73816.jpg?rlkey=48bifssza1zl5gu5kfpz2zk02&amp;dl=0","Click to download Image")</f>
      </c>
      <c r="B895" s="0">
        <f>HYPERLINK("https://dl.dropboxusercontent.com/scl/fi/bnikw2ysg3dl7nisfhmht/graphic-update2022-womens-no-inseam.jpg?rlkey=8w805lrf9avstpktbjb4wx63t&amp;dl=0","Click to download SizeChart")</f>
      </c>
      <c r="C895" s="0" t="inlineStr">
        <is>
          <t>Chloe Women's Leggings</t>
        </is>
      </c>
      <c r="D895" s="1">
        <v>134740</v>
      </c>
      <c r="E895" s="0" t="inlineStr">
        <is>
          <t>IOWA CHLOE W BK:134740D-XL</t>
        </is>
      </c>
      <c r="F895" s="2">
        <v>800134740045</v>
      </c>
      <c r="G895" s="0" t="inlineStr">
        <is>
          <t>WOMENS</t>
        </is>
      </c>
      <c r="H895" s="0" t="inlineStr">
        <is>
          <t>XL</t>
        </is>
      </c>
      <c r="I895" s="0">
        <v>54.99</v>
      </c>
      <c r="J895" s="0">
        <v>8</v>
      </c>
    </row>
    <row r="896" spans="1:10" customHeight="0">
      <c r="A896" s="0">
        <f>HYPERLINK("https://dl.dropboxusercontent.com/scl/fi/ifqmji7g2dbdc2o5z5du8/chloe73816.jpg?rlkey=48bifssza1zl5gu5kfpz2zk02&amp;dl=0","Click to download Image")</f>
      </c>
      <c r="B896" s="0">
        <f>HYPERLINK("https://dl.dropboxusercontent.com/scl/fi/bnikw2ysg3dl7nisfhmht/graphic-update2022-womens-no-inseam.jpg?rlkey=8w805lrf9avstpktbjb4wx63t&amp;dl=0","Click to download SizeChart")</f>
      </c>
      <c r="C896" s="0" t="inlineStr">
        <is>
          <t>Chloe Women's Leggings</t>
        </is>
      </c>
      <c r="D896" s="1">
        <v>134740</v>
      </c>
      <c r="E896" s="0" t="inlineStr">
        <is>
          <t>IOWA CHLOE W BK:134740E-2XL</t>
        </is>
      </c>
      <c r="F896" s="2">
        <v>800134740052</v>
      </c>
      <c r="G896" s="0" t="inlineStr">
        <is>
          <t>WOMENS</t>
        </is>
      </c>
      <c r="H896" s="0" t="inlineStr">
        <is>
          <t>2XL</t>
        </is>
      </c>
      <c r="I896" s="0">
        <v>54.99</v>
      </c>
      <c r="J896" s="0">
        <v>0</v>
      </c>
    </row>
    <row r="897" spans="1:10" customHeight="0">
      <c r="A897" s="0">
        <f>HYPERLINK("https://dl.dropboxusercontent.com/scl/fi/ifqmji7g2dbdc2o5z5du8/chloe73816.jpg?rlkey=48bifssza1zl5gu5kfpz2zk02&amp;dl=0","Click to download Image")</f>
      </c>
      <c r="B897" s="0">
        <f>HYPERLINK("https://dl.dropboxusercontent.com/scl/fi/bnikw2ysg3dl7nisfhmht/graphic-update2022-womens-no-inseam.jpg?rlkey=8w805lrf9avstpktbjb4wx63t&amp;dl=0","Click to download SizeChart")</f>
      </c>
      <c r="C897" s="0" t="inlineStr">
        <is>
          <t>Chloe Women's Leggings</t>
        </is>
      </c>
      <c r="D897" s="1">
        <v>134740</v>
      </c>
      <c r="E897" s="0" t="inlineStr">
        <is>
          <t>IOWA CHLOE W BK:134740F-3XL</t>
        </is>
      </c>
      <c r="F897" s="2">
        <v>800134740069</v>
      </c>
      <c r="G897" s="0" t="inlineStr">
        <is>
          <t>WOMENS</t>
        </is>
      </c>
      <c r="H897" s="0" t="inlineStr">
        <is>
          <t>3XL</t>
        </is>
      </c>
      <c r="I897" s="0">
        <v>54.99</v>
      </c>
      <c r="J897" s="0">
        <v>0</v>
      </c>
    </row>
    <row r="898" spans="1:10" customHeight="0">
      <c r="A898" s="0">
        <f>HYPERLINK("https://dl.dropboxusercontent.com/scl/fi/ifqmji7g2dbdc2o5z5du8/chloe73816.jpg?rlkey=48bifssza1zl5gu5kfpz2zk02&amp;dl=0","Click to download Image")</f>
      </c>
      <c r="B898" s="0">
        <f>HYPERLINK("https://dl.dropboxusercontent.com/scl/fi/bnikw2ysg3dl7nisfhmht/graphic-update2022-womens-no-inseam.jpg?rlkey=8w805lrf9avstpktbjb4wx63t&amp;dl=0","Click to download SizeChart")</f>
      </c>
      <c r="C898" s="0" t="inlineStr">
        <is>
          <t>Chloe Women's Leggings</t>
        </is>
      </c>
      <c r="D898" s="1">
        <v>134740</v>
      </c>
      <c r="E898" s="0" t="inlineStr">
        <is>
          <t>IOWA CHLOE W BK 12PK:134740Z-12PK</t>
        </is>
      </c>
      <c r="F898" s="2">
        <v>800134740991</v>
      </c>
      <c r="G898" s="0" t="inlineStr">
        <is>
          <t>WOMENS</t>
        </is>
      </c>
      <c r="H898" s="0" t="inlineStr">
        <is>
          <t>12 PACK</t>
        </is>
      </c>
      <c r="I898" s="0">
        <v>528</v>
      </c>
      <c r="J898" s="0">
        <v>0</v>
      </c>
    </row>
    <row r="899" spans="1:10" customHeight="0">
      <c r="A899" s="0">
        <f>HYPERLINK("https://dl.dropboxusercontent.com/scl/fi/19tad60y5llh6lrblmtct/vickie-134781-t.jpg?rlkey=z3dnejkk9ccqff7oj2g2o55eh&amp;dl=0","Click to download Image")</f>
      </c>
      <c r="B899" s="0">
        <f>HYPERLINK("https://dl.dropboxusercontent.com/scl/fi/ney23ohxxshp235zy2b3d/womens-pullover-size-chartsvickie.jpg?rlkey=4jue0sd56xyn2yrtr5xr0z80m&amp;dl=0","Click to download SizeChart")</f>
      </c>
      <c r="C899" s="0" t="inlineStr">
        <is>
          <t>Vickie Women's Pullover</t>
        </is>
      </c>
      <c r="D899" s="1">
        <v>134781</v>
      </c>
      <c r="E899" s="0" t="inlineStr">
        <is>
          <t>IOWA VICKIE W DG:134781A-S</t>
        </is>
      </c>
      <c r="F899" s="2">
        <v>800134781048</v>
      </c>
      <c r="G899" s="0" t="inlineStr">
        <is>
          <t>WOMENS</t>
        </is>
      </c>
      <c r="H899" s="0" t="inlineStr">
        <is>
          <t>S</t>
        </is>
      </c>
      <c r="I899" s="0">
        <v>59.99</v>
      </c>
      <c r="J899" s="0">
        <v>8</v>
      </c>
    </row>
    <row r="900" spans="1:10" customHeight="0">
      <c r="A900" s="0">
        <f>HYPERLINK("https://dl.dropboxusercontent.com/scl/fi/19tad60y5llh6lrblmtct/vickie-134781-t.jpg?rlkey=z3dnejkk9ccqff7oj2g2o55eh&amp;dl=0","Click to download Image")</f>
      </c>
      <c r="B900" s="0">
        <f>HYPERLINK("https://dl.dropboxusercontent.com/scl/fi/ney23ohxxshp235zy2b3d/womens-pullover-size-chartsvickie.jpg?rlkey=4jue0sd56xyn2yrtr5xr0z80m&amp;dl=0","Click to download SizeChart")</f>
      </c>
      <c r="C900" s="0" t="inlineStr">
        <is>
          <t>Vickie Women's Pullover</t>
        </is>
      </c>
      <c r="D900" s="1">
        <v>134781</v>
      </c>
      <c r="E900" s="0" t="inlineStr">
        <is>
          <t>IOWA VICKIE W DG:134781B-M</t>
        </is>
      </c>
      <c r="F900" s="2">
        <v>800134781055</v>
      </c>
      <c r="G900" s="0" t="inlineStr">
        <is>
          <t>WOMENS</t>
        </is>
      </c>
      <c r="H900" s="0" t="inlineStr">
        <is>
          <t>M</t>
        </is>
      </c>
      <c r="I900" s="0">
        <v>59.99</v>
      </c>
      <c r="J900" s="0">
        <v>0</v>
      </c>
    </row>
    <row r="901" spans="1:10" customHeight="0">
      <c r="A901" s="0">
        <f>HYPERLINK("https://dl.dropboxusercontent.com/scl/fi/19tad60y5llh6lrblmtct/vickie-134781-t.jpg?rlkey=z3dnejkk9ccqff7oj2g2o55eh&amp;dl=0","Click to download Image")</f>
      </c>
      <c r="B901" s="0">
        <f>HYPERLINK("https://dl.dropboxusercontent.com/scl/fi/ney23ohxxshp235zy2b3d/womens-pullover-size-chartsvickie.jpg?rlkey=4jue0sd56xyn2yrtr5xr0z80m&amp;dl=0","Click to download SizeChart")</f>
      </c>
      <c r="C901" s="0" t="inlineStr">
        <is>
          <t>Vickie Women's Pullover</t>
        </is>
      </c>
      <c r="D901" s="1">
        <v>134781</v>
      </c>
      <c r="E901" s="0" t="inlineStr">
        <is>
          <t>IOWA VICKIE W DG:134781C-L</t>
        </is>
      </c>
      <c r="F901" s="2">
        <v>800134781062</v>
      </c>
      <c r="G901" s="0" t="inlineStr">
        <is>
          <t>WOMENS</t>
        </is>
      </c>
      <c r="H901" s="0" t="inlineStr">
        <is>
          <t>L</t>
        </is>
      </c>
      <c r="I901" s="0">
        <v>59.99</v>
      </c>
      <c r="J901" s="0">
        <v>4</v>
      </c>
    </row>
    <row r="902" spans="1:10" customHeight="0">
      <c r="A902" s="0">
        <f>HYPERLINK("https://dl.dropboxusercontent.com/scl/fi/19tad60y5llh6lrblmtct/vickie-134781-t.jpg?rlkey=z3dnejkk9ccqff7oj2g2o55eh&amp;dl=0","Click to download Image")</f>
      </c>
      <c r="B902" s="0">
        <f>HYPERLINK("https://dl.dropboxusercontent.com/scl/fi/ney23ohxxshp235zy2b3d/womens-pullover-size-chartsvickie.jpg?rlkey=4jue0sd56xyn2yrtr5xr0z80m&amp;dl=0","Click to download SizeChart")</f>
      </c>
      <c r="C902" s="0" t="inlineStr">
        <is>
          <t>Vickie Women's Pullover</t>
        </is>
      </c>
      <c r="D902" s="1">
        <v>134781</v>
      </c>
      <c r="E902" s="0" t="inlineStr">
        <is>
          <t>IOWA VICKIE W DG:134781D-XL</t>
        </is>
      </c>
      <c r="F902" s="2">
        <v>800134781079</v>
      </c>
      <c r="G902" s="0" t="inlineStr">
        <is>
          <t>WOMENS</t>
        </is>
      </c>
      <c r="H902" s="0" t="inlineStr">
        <is>
          <t>XL</t>
        </is>
      </c>
      <c r="I902" s="0">
        <v>59.99</v>
      </c>
      <c r="J902" s="0">
        <v>0</v>
      </c>
    </row>
    <row r="903" spans="1:10" customHeight="0">
      <c r="A903" s="0">
        <f>HYPERLINK("https://dl.dropboxusercontent.com/scl/fi/19tad60y5llh6lrblmtct/vickie-134781-t.jpg?rlkey=z3dnejkk9ccqff7oj2g2o55eh&amp;dl=0","Click to download Image")</f>
      </c>
      <c r="B903" s="0">
        <f>HYPERLINK("https://dl.dropboxusercontent.com/scl/fi/ney23ohxxshp235zy2b3d/womens-pullover-size-chartsvickie.jpg?rlkey=4jue0sd56xyn2yrtr5xr0z80m&amp;dl=0","Click to download SizeChart")</f>
      </c>
      <c r="C903" s="0" t="inlineStr">
        <is>
          <t>Vickie Women's Pullover</t>
        </is>
      </c>
      <c r="D903" s="1">
        <v>134781</v>
      </c>
      <c r="E903" s="0" t="inlineStr">
        <is>
          <t>IOWA VICKIE W DG:134781E-2XL</t>
        </is>
      </c>
      <c r="F903" s="2">
        <v>800134781086</v>
      </c>
      <c r="G903" s="0" t="inlineStr">
        <is>
          <t>WOMENS</t>
        </is>
      </c>
      <c r="H903" s="0" t="inlineStr">
        <is>
          <t>2XL</t>
        </is>
      </c>
      <c r="I903" s="0">
        <v>59.99</v>
      </c>
      <c r="J903" s="0">
        <v>2</v>
      </c>
    </row>
    <row r="904" spans="1:10" customHeight="0">
      <c r="A904" s="0">
        <f>HYPERLINK("https://dl.dropboxusercontent.com/scl/fi/19tad60y5llh6lrblmtct/vickie-134781-t.jpg?rlkey=z3dnejkk9ccqff7oj2g2o55eh&amp;dl=0","Click to download Image")</f>
      </c>
      <c r="B904" s="0">
        <f>HYPERLINK("https://dl.dropboxusercontent.com/scl/fi/ney23ohxxshp235zy2b3d/womens-pullover-size-chartsvickie.jpg?rlkey=4jue0sd56xyn2yrtr5xr0z80m&amp;dl=0","Click to download SizeChart")</f>
      </c>
      <c r="C904" s="0" t="inlineStr">
        <is>
          <t>Vickie Women's Pullover</t>
        </is>
      </c>
      <c r="D904" s="1">
        <v>134781</v>
      </c>
      <c r="E904" s="0" t="inlineStr">
        <is>
          <t>IOWA VICKIE W DG:134781F-3XL</t>
        </is>
      </c>
      <c r="F904" s="2">
        <v>800134781093</v>
      </c>
      <c r="G904" s="0" t="inlineStr">
        <is>
          <t>WOMENS</t>
        </is>
      </c>
      <c r="H904" s="0" t="inlineStr">
        <is>
          <t>3XL</t>
        </is>
      </c>
      <c r="I904" s="0">
        <v>59.99</v>
      </c>
      <c r="J904" s="0">
        <v>3</v>
      </c>
    </row>
    <row r="905" spans="1:10" customHeight="0">
      <c r="A905" s="0">
        <f>HYPERLINK("https://dl.dropboxusercontent.com/scl/fi/19tad60y5llh6lrblmtct/vickie-134781-t.jpg?rlkey=z3dnejkk9ccqff7oj2g2o55eh&amp;dl=0","Click to download Image")</f>
      </c>
      <c r="B905" s="0">
        <f>HYPERLINK("https://dl.dropboxusercontent.com/scl/fi/ney23ohxxshp235zy2b3d/womens-pullover-size-chartsvickie.jpg?rlkey=4jue0sd56xyn2yrtr5xr0z80m&amp;dl=0","Click to download SizeChart")</f>
      </c>
      <c r="C905" s="0" t="inlineStr">
        <is>
          <t>Vickie Women's Pullover</t>
        </is>
      </c>
      <c r="D905" s="1">
        <v>134781</v>
      </c>
      <c r="E905" s="0" t="inlineStr">
        <is>
          <t>IOWA VICKIE W DG 12PK:134781Z-12PK</t>
        </is>
      </c>
      <c r="F905" s="2">
        <v>800134781994</v>
      </c>
      <c r="G905" s="0" t="inlineStr">
        <is>
          <t>WOMENS</t>
        </is>
      </c>
      <c r="H905" s="0" t="inlineStr">
        <is>
          <t>12 PACK</t>
        </is>
      </c>
      <c r="I905" s="0">
        <v>576</v>
      </c>
      <c r="J905" s="0">
        <v>0</v>
      </c>
    </row>
    <row r="906" spans="1:10" customHeight="0">
      <c r="A906" s="0">
        <f>HYPERLINK("https://dl.dropboxusercontent.com/scl/fi/ubqeurhskl19zkknmmx90/zada-135745-tn.jpg?rlkey=1qwuk2d6mzg4ikiagyhan9i0t&amp;dl=0","Click to download Image")</f>
      </c>
      <c r="B906" s="0">
        <f>HYPERLINK("https://dl.dropboxusercontent.com/scl/fi/l906u8mxazgr9gq4ce4pl/womens-t-shirt-size-chartszada.jpg?rlkey=elpucuondytw165dayavtunta&amp;dl=0","Click to download SizeChart")</f>
      </c>
      <c r="C906" s="0" t="inlineStr">
        <is>
          <t>Zada Women's Long Sleeve Shirt</t>
        </is>
      </c>
      <c r="D906" s="1">
        <v>135745</v>
      </c>
      <c r="E906" s="0" t="inlineStr">
        <is>
          <t>IOWA ZADA W BK:135745A-S</t>
        </is>
      </c>
      <c r="F906" s="2">
        <v>800135745049</v>
      </c>
      <c r="G906" s="0" t="inlineStr">
        <is>
          <t>WOMENS</t>
        </is>
      </c>
      <c r="H906" s="0" t="inlineStr">
        <is>
          <t>S</t>
        </is>
      </c>
      <c r="I906" s="0">
        <v>39.99</v>
      </c>
      <c r="J906" s="0">
        <v>1</v>
      </c>
    </row>
    <row r="907" spans="1:10" customHeight="0">
      <c r="A907" s="0">
        <f>HYPERLINK("https://dl.dropboxusercontent.com/scl/fi/ubqeurhskl19zkknmmx90/zada-135745-tn.jpg?rlkey=1qwuk2d6mzg4ikiagyhan9i0t&amp;dl=0","Click to download Image")</f>
      </c>
      <c r="B907" s="0">
        <f>HYPERLINK("https://dl.dropboxusercontent.com/scl/fi/l906u8mxazgr9gq4ce4pl/womens-t-shirt-size-chartszada.jpg?rlkey=elpucuondytw165dayavtunta&amp;dl=0","Click to download SizeChart")</f>
      </c>
      <c r="C907" s="0" t="inlineStr">
        <is>
          <t>Zada Women's Long Sleeve Shirt</t>
        </is>
      </c>
      <c r="D907" s="1">
        <v>135745</v>
      </c>
      <c r="E907" s="0" t="inlineStr">
        <is>
          <t>IOWA ZADA W BK:135745B-M</t>
        </is>
      </c>
      <c r="F907" s="2">
        <v>800135745056</v>
      </c>
      <c r="G907" s="0" t="inlineStr">
        <is>
          <t>WOMENS</t>
        </is>
      </c>
      <c r="H907" s="0" t="inlineStr">
        <is>
          <t>M</t>
        </is>
      </c>
      <c r="I907" s="0">
        <v>39.99</v>
      </c>
      <c r="J907" s="0">
        <v>2</v>
      </c>
    </row>
    <row r="908" spans="1:10" customHeight="0">
      <c r="A908" s="0">
        <f>HYPERLINK("https://dl.dropboxusercontent.com/scl/fi/ubqeurhskl19zkknmmx90/zada-135745-tn.jpg?rlkey=1qwuk2d6mzg4ikiagyhan9i0t&amp;dl=0","Click to download Image")</f>
      </c>
      <c r="B908" s="0">
        <f>HYPERLINK("https://dl.dropboxusercontent.com/scl/fi/l906u8mxazgr9gq4ce4pl/womens-t-shirt-size-chartszada.jpg?rlkey=elpucuondytw165dayavtunta&amp;dl=0","Click to download SizeChart")</f>
      </c>
      <c r="C908" s="0" t="inlineStr">
        <is>
          <t>Zada Women's Long Sleeve Shirt</t>
        </is>
      </c>
      <c r="D908" s="1">
        <v>135745</v>
      </c>
      <c r="E908" s="0" t="inlineStr">
        <is>
          <t>IOWA ZADA W BK:135745C-L</t>
        </is>
      </c>
      <c r="F908" s="2">
        <v>800135745063</v>
      </c>
      <c r="G908" s="0" t="inlineStr">
        <is>
          <t>WOMENS</t>
        </is>
      </c>
      <c r="H908" s="0" t="inlineStr">
        <is>
          <t>L</t>
        </is>
      </c>
      <c r="I908" s="0">
        <v>39.99</v>
      </c>
      <c r="J908" s="0">
        <v>0</v>
      </c>
    </row>
    <row r="909" spans="1:10" customHeight="0">
      <c r="A909" s="0">
        <f>HYPERLINK("https://dl.dropboxusercontent.com/scl/fi/ubqeurhskl19zkknmmx90/zada-135745-tn.jpg?rlkey=1qwuk2d6mzg4ikiagyhan9i0t&amp;dl=0","Click to download Image")</f>
      </c>
      <c r="B909" s="0">
        <f>HYPERLINK("https://dl.dropboxusercontent.com/scl/fi/l906u8mxazgr9gq4ce4pl/womens-t-shirt-size-chartszada.jpg?rlkey=elpucuondytw165dayavtunta&amp;dl=0","Click to download SizeChart")</f>
      </c>
      <c r="C909" s="0" t="inlineStr">
        <is>
          <t>Zada Women's Long Sleeve Shirt</t>
        </is>
      </c>
      <c r="D909" s="1">
        <v>135745</v>
      </c>
      <c r="E909" s="0" t="inlineStr">
        <is>
          <t>IOWA ZADA W BK:135745D-XL</t>
        </is>
      </c>
      <c r="F909" s="2">
        <v>800135745070</v>
      </c>
      <c r="G909" s="0" t="inlineStr">
        <is>
          <t>WOMENS</t>
        </is>
      </c>
      <c r="H909" s="0" t="inlineStr">
        <is>
          <t>XL</t>
        </is>
      </c>
      <c r="I909" s="0">
        <v>39.99</v>
      </c>
      <c r="J909" s="0">
        <v>0</v>
      </c>
    </row>
    <row r="910" spans="1:10" customHeight="0">
      <c r="A910" s="0">
        <f>HYPERLINK("https://dl.dropboxusercontent.com/scl/fi/ubqeurhskl19zkknmmx90/zada-135745-tn.jpg?rlkey=1qwuk2d6mzg4ikiagyhan9i0t&amp;dl=0","Click to download Image")</f>
      </c>
      <c r="B910" s="0">
        <f>HYPERLINK("https://dl.dropboxusercontent.com/scl/fi/l906u8mxazgr9gq4ce4pl/womens-t-shirt-size-chartszada.jpg?rlkey=elpucuondytw165dayavtunta&amp;dl=0","Click to download SizeChart")</f>
      </c>
      <c r="C910" s="0" t="inlineStr">
        <is>
          <t>Zada Women's Long Sleeve Shirt</t>
        </is>
      </c>
      <c r="D910" s="1">
        <v>135745</v>
      </c>
      <c r="E910" s="0" t="inlineStr">
        <is>
          <t>IOWA ZADA W BK:135745E-2XL</t>
        </is>
      </c>
      <c r="F910" s="2">
        <v>800135745087</v>
      </c>
      <c r="G910" s="0" t="inlineStr">
        <is>
          <t>WOMENS</t>
        </is>
      </c>
      <c r="H910" s="0" t="inlineStr">
        <is>
          <t>2XL</t>
        </is>
      </c>
      <c r="I910" s="0">
        <v>39.99</v>
      </c>
      <c r="J910" s="0">
        <v>0</v>
      </c>
    </row>
    <row r="911" spans="1:10" customHeight="0">
      <c r="A911" s="0">
        <f>HYPERLINK("https://dl.dropboxusercontent.com/scl/fi/ubqeurhskl19zkknmmx90/zada-135745-tn.jpg?rlkey=1qwuk2d6mzg4ikiagyhan9i0t&amp;dl=0","Click to download Image")</f>
      </c>
      <c r="B911" s="0">
        <f>HYPERLINK("https://dl.dropboxusercontent.com/scl/fi/l906u8mxazgr9gq4ce4pl/womens-t-shirt-size-chartszada.jpg?rlkey=elpucuondytw165dayavtunta&amp;dl=0","Click to download SizeChart")</f>
      </c>
      <c r="C911" s="0" t="inlineStr">
        <is>
          <t>Zada Women's Long Sleeve Shirt</t>
        </is>
      </c>
      <c r="D911" s="1">
        <v>135745</v>
      </c>
      <c r="E911" s="0" t="inlineStr">
        <is>
          <t>IOWA ZADA W BK:135745F-3XL</t>
        </is>
      </c>
      <c r="F911" s="2">
        <v>800135745094</v>
      </c>
      <c r="G911" s="0" t="inlineStr">
        <is>
          <t>WOMENS</t>
        </is>
      </c>
      <c r="H911" s="0" t="inlineStr">
        <is>
          <t>3XL</t>
        </is>
      </c>
      <c r="I911" s="0">
        <v>39.99</v>
      </c>
      <c r="J911" s="0">
        <v>0</v>
      </c>
    </row>
    <row r="912" spans="1:10" customHeight="0">
      <c r="A912" s="0">
        <f>HYPERLINK("https://dl.dropboxusercontent.com/scl/fi/ubqeurhskl19zkknmmx90/zada-135745-tn.jpg?rlkey=1qwuk2d6mzg4ikiagyhan9i0t&amp;dl=0","Click to download Image")</f>
      </c>
      <c r="B912" s="0">
        <f>HYPERLINK("https://dl.dropboxusercontent.com/scl/fi/l906u8mxazgr9gq4ce4pl/womens-t-shirt-size-chartszada.jpg?rlkey=elpucuondytw165dayavtunta&amp;dl=0","Click to download SizeChart")</f>
      </c>
      <c r="C912" s="0" t="inlineStr">
        <is>
          <t>Zada Women's Long Sleeve Shirt</t>
        </is>
      </c>
      <c r="D912" s="1">
        <v>135745</v>
      </c>
      <c r="E912" s="0" t="inlineStr">
        <is>
          <t>IOWA ZADA W BK 12PK:135745Z-12PK</t>
        </is>
      </c>
      <c r="F912" s="2">
        <v>800135745995</v>
      </c>
      <c r="G912" s="0" t="inlineStr">
        <is>
          <t>WOMENS</t>
        </is>
      </c>
      <c r="H912" s="0" t="inlineStr">
        <is>
          <t>12 PACK</t>
        </is>
      </c>
      <c r="I912" s="0">
        <v>384</v>
      </c>
      <c r="J912" s="0">
        <v>0</v>
      </c>
    </row>
    <row r="913" spans="1:10" customHeight="0">
      <c r="A913" s="0">
        <f>HYPERLINK("https://dl.dropboxusercontent.com/scl/fi/em7f0isyk5c8edad49t29/court-134026-tn.jpg?rlkey=ao72zh4h6pv262qng772vbmzc&amp;dl=0","Click to download Image")</f>
      </c>
      <c r="B913" s="0">
        <f>HYPERLINK("https://dl.dropboxusercontent.com/scl/fi/b0fkc7cfm8zn8guv1le7o/graphic-update2022-mens.jpg?rlkey=tk1g781vxtavng90uz9k9krtg&amp;dl=0","Click to download SizeChart")</f>
      </c>
      <c r="C913" s="0" t="inlineStr">
        <is>
          <t>Court Men's Pullover</t>
        </is>
      </c>
      <c r="D913" s="1">
        <v>134026</v>
      </c>
      <c r="E913" s="0" t="inlineStr">
        <is>
          <t>IOWA COURT M BK:134026A-S</t>
        </is>
      </c>
      <c r="F913" s="2">
        <v>800134026040</v>
      </c>
      <c r="G913" s="0" t="inlineStr">
        <is>
          <t>MENS</t>
        </is>
      </c>
      <c r="H913" s="0" t="inlineStr">
        <is>
          <t>S</t>
        </is>
      </c>
      <c r="I913" s="0">
        <v>54.99</v>
      </c>
      <c r="J913" s="0">
        <v>0</v>
      </c>
    </row>
    <row r="914" spans="1:10" customHeight="0">
      <c r="A914" s="0">
        <f>HYPERLINK("https://dl.dropboxusercontent.com/scl/fi/em7f0isyk5c8edad49t29/court-134026-tn.jpg?rlkey=ao72zh4h6pv262qng772vbmzc&amp;dl=0","Click to download Image")</f>
      </c>
      <c r="B914" s="0">
        <f>HYPERLINK("https://dl.dropboxusercontent.com/scl/fi/b0fkc7cfm8zn8guv1le7o/graphic-update2022-mens.jpg?rlkey=tk1g781vxtavng90uz9k9krtg&amp;dl=0","Click to download SizeChart")</f>
      </c>
      <c r="C914" s="0" t="inlineStr">
        <is>
          <t>Court Men's Pullover</t>
        </is>
      </c>
      <c r="D914" s="1">
        <v>134026</v>
      </c>
      <c r="E914" s="0" t="inlineStr">
        <is>
          <t>IOWA COURT M BK:134026B-M</t>
        </is>
      </c>
      <c r="F914" s="2">
        <v>800134026057</v>
      </c>
      <c r="G914" s="0" t="inlineStr">
        <is>
          <t>MENS</t>
        </is>
      </c>
      <c r="H914" s="0" t="inlineStr">
        <is>
          <t>M</t>
        </is>
      </c>
      <c r="I914" s="0">
        <v>54.99</v>
      </c>
      <c r="J914" s="0">
        <v>2</v>
      </c>
    </row>
    <row r="915" spans="1:10" customHeight="0">
      <c r="A915" s="0">
        <f>HYPERLINK("https://dl.dropboxusercontent.com/scl/fi/em7f0isyk5c8edad49t29/court-134026-tn.jpg?rlkey=ao72zh4h6pv262qng772vbmzc&amp;dl=0","Click to download Image")</f>
      </c>
      <c r="B915" s="0">
        <f>HYPERLINK("https://dl.dropboxusercontent.com/scl/fi/b0fkc7cfm8zn8guv1le7o/graphic-update2022-mens.jpg?rlkey=tk1g781vxtavng90uz9k9krtg&amp;dl=0","Click to download SizeChart")</f>
      </c>
      <c r="C915" s="0" t="inlineStr">
        <is>
          <t>Court Men's Pullover</t>
        </is>
      </c>
      <c r="D915" s="1">
        <v>134026</v>
      </c>
      <c r="E915" s="0" t="inlineStr">
        <is>
          <t>IOWA COURT M BK:134026C-L</t>
        </is>
      </c>
      <c r="F915" s="2">
        <v>800134026064</v>
      </c>
      <c r="G915" s="0" t="inlineStr">
        <is>
          <t>MENS</t>
        </is>
      </c>
      <c r="H915" s="0" t="inlineStr">
        <is>
          <t>L</t>
        </is>
      </c>
      <c r="I915" s="0">
        <v>54.99</v>
      </c>
      <c r="J915" s="0">
        <v>2</v>
      </c>
    </row>
    <row r="916" spans="1:10" customHeight="0">
      <c r="A916" s="0">
        <f>HYPERLINK("https://dl.dropboxusercontent.com/scl/fi/em7f0isyk5c8edad49t29/court-134026-tn.jpg?rlkey=ao72zh4h6pv262qng772vbmzc&amp;dl=0","Click to download Image")</f>
      </c>
      <c r="B916" s="0">
        <f>HYPERLINK("https://dl.dropboxusercontent.com/scl/fi/b0fkc7cfm8zn8guv1le7o/graphic-update2022-mens.jpg?rlkey=tk1g781vxtavng90uz9k9krtg&amp;dl=0","Click to download SizeChart")</f>
      </c>
      <c r="C916" s="0" t="inlineStr">
        <is>
          <t>Court Men's Pullover</t>
        </is>
      </c>
      <c r="D916" s="1">
        <v>134026</v>
      </c>
      <c r="E916" s="0" t="inlineStr">
        <is>
          <t>IOWA COURT M BK:134026D-XL</t>
        </is>
      </c>
      <c r="F916" s="2">
        <v>800134026071</v>
      </c>
      <c r="G916" s="0" t="inlineStr">
        <is>
          <t>MENS</t>
        </is>
      </c>
      <c r="H916" s="0" t="inlineStr">
        <is>
          <t>XL</t>
        </is>
      </c>
      <c r="I916" s="0">
        <v>54.99</v>
      </c>
      <c r="J916" s="0">
        <v>2</v>
      </c>
    </row>
    <row r="917" spans="1:10" customHeight="0">
      <c r="A917" s="0">
        <f>HYPERLINK("https://dl.dropboxusercontent.com/scl/fi/em7f0isyk5c8edad49t29/court-134026-tn.jpg?rlkey=ao72zh4h6pv262qng772vbmzc&amp;dl=0","Click to download Image")</f>
      </c>
      <c r="B917" s="0">
        <f>HYPERLINK("https://dl.dropboxusercontent.com/scl/fi/b0fkc7cfm8zn8guv1le7o/graphic-update2022-mens.jpg?rlkey=tk1g781vxtavng90uz9k9krtg&amp;dl=0","Click to download SizeChart")</f>
      </c>
      <c r="C917" s="0" t="inlineStr">
        <is>
          <t>Court Men's Pullover</t>
        </is>
      </c>
      <c r="D917" s="1">
        <v>134026</v>
      </c>
      <c r="E917" s="0" t="inlineStr">
        <is>
          <t>IOWA COURT M BK:134026E-2XL</t>
        </is>
      </c>
      <c r="F917" s="2">
        <v>800134026088</v>
      </c>
      <c r="G917" s="0" t="inlineStr">
        <is>
          <t>MENS</t>
        </is>
      </c>
      <c r="H917" s="0" t="inlineStr">
        <is>
          <t>2XL</t>
        </is>
      </c>
      <c r="I917" s="0">
        <v>54.99</v>
      </c>
      <c r="J917" s="0">
        <v>4</v>
      </c>
    </row>
    <row r="918" spans="1:10" customHeight="0">
      <c r="A918" s="0">
        <f>HYPERLINK("https://dl.dropboxusercontent.com/scl/fi/em7f0isyk5c8edad49t29/court-134026-tn.jpg?rlkey=ao72zh4h6pv262qng772vbmzc&amp;dl=0","Click to download Image")</f>
      </c>
      <c r="B918" s="0">
        <f>HYPERLINK("https://dl.dropboxusercontent.com/scl/fi/b0fkc7cfm8zn8guv1le7o/graphic-update2022-mens.jpg?rlkey=tk1g781vxtavng90uz9k9krtg&amp;dl=0","Click to download SizeChart")</f>
      </c>
      <c r="C918" s="0" t="inlineStr">
        <is>
          <t>Court Men's Pullover</t>
        </is>
      </c>
      <c r="D918" s="1">
        <v>134026</v>
      </c>
      <c r="E918" s="0" t="inlineStr">
        <is>
          <t>IOWA COURT M BK:134026F-3XL</t>
        </is>
      </c>
      <c r="F918" s="2">
        <v>800134026095</v>
      </c>
      <c r="G918" s="0" t="inlineStr">
        <is>
          <t>MENS</t>
        </is>
      </c>
      <c r="H918" s="0" t="inlineStr">
        <is>
          <t>3XL</t>
        </is>
      </c>
      <c r="I918" s="0">
        <v>54.99</v>
      </c>
      <c r="J918" s="0">
        <v>1</v>
      </c>
    </row>
    <row r="919" spans="1:10" customHeight="0">
      <c r="A919" s="0">
        <f>HYPERLINK("https://dl.dropboxusercontent.com/scl/fi/em7f0isyk5c8edad49t29/court-134026-tn.jpg?rlkey=ao72zh4h6pv262qng772vbmzc&amp;dl=0","Click to download Image")</f>
      </c>
      <c r="B919" s="0">
        <f>HYPERLINK("https://dl.dropboxusercontent.com/scl/fi/b0fkc7cfm8zn8guv1le7o/graphic-update2022-mens.jpg?rlkey=tk1g781vxtavng90uz9k9krtg&amp;dl=0","Click to download SizeChart")</f>
      </c>
      <c r="C919" s="0" t="inlineStr">
        <is>
          <t>Court Men's Pullover</t>
        </is>
      </c>
      <c r="D919" s="1">
        <v>134026</v>
      </c>
      <c r="E919" s="0" t="inlineStr">
        <is>
          <t>IOWA COURT M BK 12PK:134026Z-12PK</t>
        </is>
      </c>
      <c r="F919" s="2">
        <v>800134026996</v>
      </c>
      <c r="G919" s="0" t="inlineStr">
        <is>
          <t>MENS</t>
        </is>
      </c>
      <c r="H919" s="0" t="inlineStr">
        <is>
          <t>12 PACK</t>
        </is>
      </c>
      <c r="I919" s="0">
        <v>534</v>
      </c>
      <c r="J919" s="0">
        <v>0</v>
      </c>
    </row>
    <row r="920" spans="1:10" customHeight="0">
      <c r="A920" s="0">
        <f>HYPERLINK("https://dl.dropboxusercontent.com/scl/fi/nzj625vq9mz4lzi03qpex/fessler-136628-tn.jpg?rlkey=hqbiiiupbzwv90hotp5wg5qj5&amp;dl=0","Click to download Image")</f>
      </c>
      <c r="C920" s="0" t="inlineStr">
        <is>
          <t>Fessler Infant Cap</t>
        </is>
      </c>
      <c r="D920" s="1">
        <v>136628</v>
      </c>
      <c r="E920" s="0" t="inlineStr">
        <is>
          <t>IOWA FESSLE I BK:136628</t>
        </is>
      </c>
      <c r="F920" s="2">
        <v>700136628009</v>
      </c>
      <c r="G920" s="0" t="inlineStr">
        <is>
          <t>INFANT</t>
        </is>
      </c>
      <c r="H920" s="0" t="inlineStr">
        <is>
          <t>STANDARD:47CM</t>
        </is>
      </c>
      <c r="I920" s="0">
        <v>22.99</v>
      </c>
      <c r="J920" s="0">
        <v>22</v>
      </c>
    </row>
    <row r="921" spans="1:10" customHeight="0">
      <c r="A921" s="0">
        <f>HYPERLINK("https://dl.dropboxusercontent.com/scl/fi/lagvy7w49lclcsfivq4oe/dasher-152347-f.jpg?rlkey=ae4w87y3bhgj2htaroeckhro8&amp;dl=0","Click to download Image")</f>
      </c>
      <c r="B921" s="0">
        <f>HYPERLINK("https://dl.dropboxusercontent.com/scl/fi/lyzrj26noz5rrdb2p4tog/graphic-update2022-mens.jpg?rlkey=8dof6myfisnr382bj6hamdpgp&amp;dl=0","Click to download SizeChart")</f>
      </c>
      <c r="C921" s="0" t="inlineStr">
        <is>
          <t>Dasher Unisex Ugly Sweatshirt</t>
        </is>
      </c>
      <c r="D921" s="1">
        <v>152347</v>
      </c>
      <c r="E921" s="0" t="inlineStr">
        <is>
          <t>IOWA DASHER M BK:152347AA-XS</t>
        </is>
      </c>
      <c r="F921" s="2">
        <v>800152347035</v>
      </c>
      <c r="G921" s="0" t="inlineStr">
        <is>
          <t>MENS</t>
        </is>
      </c>
      <c r="H921" s="0" t="inlineStr">
        <is>
          <t>XS</t>
        </is>
      </c>
      <c r="I921" s="0">
        <v>49.99</v>
      </c>
      <c r="J921" s="0">
        <v>6</v>
      </c>
    </row>
    <row r="922" spans="1:10" customHeight="0">
      <c r="A922" s="0">
        <f>HYPERLINK("https://dl.dropboxusercontent.com/scl/fi/lagvy7w49lclcsfivq4oe/dasher-152347-f.jpg?rlkey=ae4w87y3bhgj2htaroeckhro8&amp;dl=0","Click to download Image")</f>
      </c>
      <c r="B922" s="0">
        <f>HYPERLINK("https://dl.dropboxusercontent.com/scl/fi/lyzrj26noz5rrdb2p4tog/graphic-update2022-mens.jpg?rlkey=8dof6myfisnr382bj6hamdpgp&amp;dl=0","Click to download SizeChart")</f>
      </c>
      <c r="C922" s="0" t="inlineStr">
        <is>
          <t>Dasher Unisex Ugly Sweatshirt</t>
        </is>
      </c>
      <c r="D922" s="1">
        <v>152347</v>
      </c>
      <c r="E922" s="0" t="inlineStr">
        <is>
          <t>IOWA DASHER M BK:152347A-S</t>
        </is>
      </c>
      <c r="F922" s="2">
        <v>800152347042</v>
      </c>
      <c r="G922" s="0" t="inlineStr">
        <is>
          <t>MENS</t>
        </is>
      </c>
      <c r="H922" s="0" t="inlineStr">
        <is>
          <t>S</t>
        </is>
      </c>
      <c r="I922" s="0">
        <v>49.99</v>
      </c>
      <c r="J922" s="0">
        <v>0</v>
      </c>
    </row>
    <row r="923" spans="1:10" customHeight="0">
      <c r="A923" s="0">
        <f>HYPERLINK("https://dl.dropboxusercontent.com/scl/fi/lagvy7w49lclcsfivq4oe/dasher-152347-f.jpg?rlkey=ae4w87y3bhgj2htaroeckhro8&amp;dl=0","Click to download Image")</f>
      </c>
      <c r="B923" s="0">
        <f>HYPERLINK("https://dl.dropboxusercontent.com/scl/fi/lyzrj26noz5rrdb2p4tog/graphic-update2022-mens.jpg?rlkey=8dof6myfisnr382bj6hamdpgp&amp;dl=0","Click to download SizeChart")</f>
      </c>
      <c r="C923" s="0" t="inlineStr">
        <is>
          <t>Dasher Unisex Ugly Sweatshirt</t>
        </is>
      </c>
      <c r="D923" s="1">
        <v>152347</v>
      </c>
      <c r="E923" s="0" t="inlineStr">
        <is>
          <t>IOWA DASHER M BK:152347B-M</t>
        </is>
      </c>
      <c r="F923" s="2">
        <v>800152347059</v>
      </c>
      <c r="G923" s="0" t="inlineStr">
        <is>
          <t>MENS</t>
        </is>
      </c>
      <c r="H923" s="0" t="inlineStr">
        <is>
          <t>M</t>
        </is>
      </c>
      <c r="I923" s="0">
        <v>49.99</v>
      </c>
      <c r="J923" s="0">
        <v>0</v>
      </c>
    </row>
    <row r="924" spans="1:10" customHeight="0">
      <c r="A924" s="0">
        <f>HYPERLINK("https://dl.dropboxusercontent.com/scl/fi/lagvy7w49lclcsfivq4oe/dasher-152347-f.jpg?rlkey=ae4w87y3bhgj2htaroeckhro8&amp;dl=0","Click to download Image")</f>
      </c>
      <c r="B924" s="0">
        <f>HYPERLINK("https://dl.dropboxusercontent.com/scl/fi/lyzrj26noz5rrdb2p4tog/graphic-update2022-mens.jpg?rlkey=8dof6myfisnr382bj6hamdpgp&amp;dl=0","Click to download SizeChart")</f>
      </c>
      <c r="C924" s="0" t="inlineStr">
        <is>
          <t>Dasher Unisex Ugly Sweatshirt</t>
        </is>
      </c>
      <c r="D924" s="1">
        <v>152347</v>
      </c>
      <c r="E924" s="0" t="inlineStr">
        <is>
          <t>IOWA DASHER M BK:152347C-L</t>
        </is>
      </c>
      <c r="F924" s="2">
        <v>800152347066</v>
      </c>
      <c r="G924" s="0" t="inlineStr">
        <is>
          <t>MENS</t>
        </is>
      </c>
      <c r="H924" s="0" t="inlineStr">
        <is>
          <t>L</t>
        </is>
      </c>
      <c r="I924" s="0">
        <v>49.99</v>
      </c>
      <c r="J924" s="0">
        <v>0</v>
      </c>
    </row>
    <row r="925" spans="1:10" customHeight="0">
      <c r="A925" s="0">
        <f>HYPERLINK("https://dl.dropboxusercontent.com/scl/fi/lagvy7w49lclcsfivq4oe/dasher-152347-f.jpg?rlkey=ae4w87y3bhgj2htaroeckhro8&amp;dl=0","Click to download Image")</f>
      </c>
      <c r="B925" s="0">
        <f>HYPERLINK("https://dl.dropboxusercontent.com/scl/fi/lyzrj26noz5rrdb2p4tog/graphic-update2022-mens.jpg?rlkey=8dof6myfisnr382bj6hamdpgp&amp;dl=0","Click to download SizeChart")</f>
      </c>
      <c r="C925" s="0" t="inlineStr">
        <is>
          <t>Dasher Unisex Ugly Sweatshirt</t>
        </is>
      </c>
      <c r="D925" s="1">
        <v>152347</v>
      </c>
      <c r="E925" s="0" t="inlineStr">
        <is>
          <t>IOWA DASHER M BK:152347D-XL</t>
        </is>
      </c>
      <c r="F925" s="2">
        <v>800152347073</v>
      </c>
      <c r="G925" s="0" t="inlineStr">
        <is>
          <t>MENS</t>
        </is>
      </c>
      <c r="H925" s="0" t="inlineStr">
        <is>
          <t>XL</t>
        </is>
      </c>
      <c r="I925" s="0">
        <v>49.99</v>
      </c>
      <c r="J925" s="0">
        <v>0</v>
      </c>
    </row>
    <row r="926" spans="1:10" customHeight="0">
      <c r="A926" s="0">
        <f>HYPERLINK("https://dl.dropboxusercontent.com/scl/fi/lagvy7w49lclcsfivq4oe/dasher-152347-f.jpg?rlkey=ae4w87y3bhgj2htaroeckhro8&amp;dl=0","Click to download Image")</f>
      </c>
      <c r="B926" s="0">
        <f>HYPERLINK("https://dl.dropboxusercontent.com/scl/fi/lyzrj26noz5rrdb2p4tog/graphic-update2022-mens.jpg?rlkey=8dof6myfisnr382bj6hamdpgp&amp;dl=0","Click to download SizeChart")</f>
      </c>
      <c r="C926" s="0" t="inlineStr">
        <is>
          <t>Dasher Unisex Ugly Sweatshirt</t>
        </is>
      </c>
      <c r="D926" s="1">
        <v>152347</v>
      </c>
      <c r="E926" s="0" t="inlineStr">
        <is>
          <t>IOWA DASHER M BK:152347E-2XL</t>
        </is>
      </c>
      <c r="F926" s="2">
        <v>800152347080</v>
      </c>
      <c r="G926" s="0" t="inlineStr">
        <is>
          <t>MENS</t>
        </is>
      </c>
      <c r="H926" s="0" t="inlineStr">
        <is>
          <t>2XL</t>
        </is>
      </c>
      <c r="I926" s="0">
        <v>49.99</v>
      </c>
      <c r="J926" s="0">
        <v>0</v>
      </c>
    </row>
    <row r="927" spans="1:10" customHeight="0">
      <c r="A927" s="0">
        <f>HYPERLINK("https://dl.dropboxusercontent.com/scl/fi/lagvy7w49lclcsfivq4oe/dasher-152347-f.jpg?rlkey=ae4w87y3bhgj2htaroeckhro8&amp;dl=0","Click to download Image")</f>
      </c>
      <c r="B927" s="0">
        <f>HYPERLINK("https://dl.dropboxusercontent.com/scl/fi/lyzrj26noz5rrdb2p4tog/graphic-update2022-mens.jpg?rlkey=8dof6myfisnr382bj6hamdpgp&amp;dl=0","Click to download SizeChart")</f>
      </c>
      <c r="C927" s="0" t="inlineStr">
        <is>
          <t>Dasher Unisex Ugly Sweatshirt</t>
        </is>
      </c>
      <c r="D927" s="1">
        <v>152347</v>
      </c>
      <c r="E927" s="0" t="inlineStr">
        <is>
          <t>IOWA DASHER M BK:152347F-3XL</t>
        </is>
      </c>
      <c r="F927" s="2">
        <v>800152347097</v>
      </c>
      <c r="G927" s="0" t="inlineStr">
        <is>
          <t>MENS</t>
        </is>
      </c>
      <c r="H927" s="0" t="inlineStr">
        <is>
          <t>3XL</t>
        </is>
      </c>
      <c r="I927" s="0">
        <v>49.99</v>
      </c>
      <c r="J927" s="0">
        <v>0</v>
      </c>
    </row>
    <row r="928" spans="1:10" customHeight="0">
      <c r="A928" s="0">
        <f>HYPERLINK("https://dl.dropboxusercontent.com/scl/fi/lagvy7w49lclcsfivq4oe/dasher-152347-f.jpg?rlkey=ae4w87y3bhgj2htaroeckhro8&amp;dl=0","Click to download Image")</f>
      </c>
      <c r="B928" s="0">
        <f>HYPERLINK("https://dl.dropboxusercontent.com/scl/fi/lyzrj26noz5rrdb2p4tog/graphic-update2022-mens.jpg?rlkey=8dof6myfisnr382bj6hamdpgp&amp;dl=0","Click to download SizeChart")</f>
      </c>
      <c r="C928" s="0" t="inlineStr">
        <is>
          <t>Dasher Unisex Ugly Sweatshirt</t>
        </is>
      </c>
      <c r="D928" s="1">
        <v>152347</v>
      </c>
      <c r="E928" s="0" t="inlineStr">
        <is>
          <t>IOWA DASHER M BK:152347Z-12PK</t>
        </is>
      </c>
      <c r="F928" s="2">
        <v>800152347998</v>
      </c>
      <c r="G928" s="0" t="inlineStr">
        <is>
          <t>MENS</t>
        </is>
      </c>
      <c r="H928" s="0" t="inlineStr">
        <is>
          <t>12 PACK</t>
        </is>
      </c>
      <c r="I928" s="0">
        <v>480</v>
      </c>
      <c r="J928" s="0">
        <v>0</v>
      </c>
    </row>
    <row r="929" spans="1:10" customHeight="0">
      <c r="A929" s="0">
        <f>HYPERLINK("https://dl.dropboxusercontent.com/scl/fi/5ty74e4g309rshttq3q7f/dasher-152348-f.jpg?rlkey=wladwmpy986w1nmbukk65pmea&amp;dl=0","Click to download Image")</f>
      </c>
      <c r="B929" s="0">
        <f>HYPERLINK("https://dl.dropboxusercontent.com/scl/fi/lyzrj26noz5rrdb2p4tog/graphic-update2022-mens.jpg?rlkey=8dof6myfisnr382bj6hamdpgp&amp;dl=0","Click to download SizeChart")</f>
      </c>
      <c r="C929" s="0" t="inlineStr">
        <is>
          <t>Dasher Unisex Ugly Sweatshirt</t>
        </is>
      </c>
      <c r="D929" s="1">
        <v>152348</v>
      </c>
      <c r="E929" s="0" t="inlineStr">
        <is>
          <t>IOWA DASHER M AT:152348AA-XS</t>
        </is>
      </c>
      <c r="F929" s="2">
        <v>800152348032</v>
      </c>
      <c r="G929" s="0" t="inlineStr">
        <is>
          <t>MENS</t>
        </is>
      </c>
      <c r="H929" s="0" t="inlineStr">
        <is>
          <t>XS</t>
        </is>
      </c>
      <c r="I929" s="0">
        <v>49.99</v>
      </c>
      <c r="J929" s="0">
        <v>10</v>
      </c>
    </row>
    <row r="930" spans="1:10" customHeight="0">
      <c r="A930" s="0">
        <f>HYPERLINK("https://dl.dropboxusercontent.com/scl/fi/5ty74e4g309rshttq3q7f/dasher-152348-f.jpg?rlkey=wladwmpy986w1nmbukk65pmea&amp;dl=0","Click to download Image")</f>
      </c>
      <c r="B930" s="0">
        <f>HYPERLINK("https://dl.dropboxusercontent.com/scl/fi/lyzrj26noz5rrdb2p4tog/graphic-update2022-mens.jpg?rlkey=8dof6myfisnr382bj6hamdpgp&amp;dl=0","Click to download SizeChart")</f>
      </c>
      <c r="C930" s="0" t="inlineStr">
        <is>
          <t>Dasher Unisex Ugly Sweatshirt</t>
        </is>
      </c>
      <c r="D930" s="1">
        <v>152348</v>
      </c>
      <c r="E930" s="0" t="inlineStr">
        <is>
          <t>IOWA DASHER M AT:152348A-S</t>
        </is>
      </c>
      <c r="F930" s="2">
        <v>800152348049</v>
      </c>
      <c r="G930" s="0" t="inlineStr">
        <is>
          <t>MENS</t>
        </is>
      </c>
      <c r="H930" s="0" t="inlineStr">
        <is>
          <t>S</t>
        </is>
      </c>
      <c r="I930" s="0">
        <v>49.99</v>
      </c>
      <c r="J930" s="0">
        <v>6</v>
      </c>
    </row>
    <row r="931" spans="1:10" customHeight="0">
      <c r="A931" s="0">
        <f>HYPERLINK("https://dl.dropboxusercontent.com/scl/fi/5ty74e4g309rshttq3q7f/dasher-152348-f.jpg?rlkey=wladwmpy986w1nmbukk65pmea&amp;dl=0","Click to download Image")</f>
      </c>
      <c r="B931" s="0">
        <f>HYPERLINK("https://dl.dropboxusercontent.com/scl/fi/lyzrj26noz5rrdb2p4tog/graphic-update2022-mens.jpg?rlkey=8dof6myfisnr382bj6hamdpgp&amp;dl=0","Click to download SizeChart")</f>
      </c>
      <c r="C931" s="0" t="inlineStr">
        <is>
          <t>Dasher Unisex Ugly Sweatshirt</t>
        </is>
      </c>
      <c r="D931" s="1">
        <v>152348</v>
      </c>
      <c r="E931" s="0" t="inlineStr">
        <is>
          <t>IOWA DASHER M AT:152348B-M</t>
        </is>
      </c>
      <c r="F931" s="2">
        <v>800152348056</v>
      </c>
      <c r="G931" s="0" t="inlineStr">
        <is>
          <t>MENS</t>
        </is>
      </c>
      <c r="H931" s="0" t="inlineStr">
        <is>
          <t>M</t>
        </is>
      </c>
      <c r="I931" s="0">
        <v>49.99</v>
      </c>
      <c r="J931" s="0">
        <v>0</v>
      </c>
    </row>
    <row r="932" spans="1:10" customHeight="0">
      <c r="A932" s="0">
        <f>HYPERLINK("https://dl.dropboxusercontent.com/scl/fi/5ty74e4g309rshttq3q7f/dasher-152348-f.jpg?rlkey=wladwmpy986w1nmbukk65pmea&amp;dl=0","Click to download Image")</f>
      </c>
      <c r="B932" s="0">
        <f>HYPERLINK("https://dl.dropboxusercontent.com/scl/fi/lyzrj26noz5rrdb2p4tog/graphic-update2022-mens.jpg?rlkey=8dof6myfisnr382bj6hamdpgp&amp;dl=0","Click to download SizeChart")</f>
      </c>
      <c r="C932" s="0" t="inlineStr">
        <is>
          <t>Dasher Unisex Ugly Sweatshirt</t>
        </is>
      </c>
      <c r="D932" s="1">
        <v>152348</v>
      </c>
      <c r="E932" s="0" t="inlineStr">
        <is>
          <t>IOWA DASHER M AT:152348C-L</t>
        </is>
      </c>
      <c r="F932" s="2">
        <v>800152348063</v>
      </c>
      <c r="G932" s="0" t="inlineStr">
        <is>
          <t>MENS</t>
        </is>
      </c>
      <c r="H932" s="0" t="inlineStr">
        <is>
          <t>L</t>
        </is>
      </c>
      <c r="I932" s="0">
        <v>49.99</v>
      </c>
      <c r="J932" s="0">
        <v>0</v>
      </c>
    </row>
    <row r="933" spans="1:10" customHeight="0">
      <c r="A933" s="0">
        <f>HYPERLINK("https://dl.dropboxusercontent.com/scl/fi/5ty74e4g309rshttq3q7f/dasher-152348-f.jpg?rlkey=wladwmpy986w1nmbukk65pmea&amp;dl=0","Click to download Image")</f>
      </c>
      <c r="B933" s="0">
        <f>HYPERLINK("https://dl.dropboxusercontent.com/scl/fi/lyzrj26noz5rrdb2p4tog/graphic-update2022-mens.jpg?rlkey=8dof6myfisnr382bj6hamdpgp&amp;dl=0","Click to download SizeChart")</f>
      </c>
      <c r="C933" s="0" t="inlineStr">
        <is>
          <t>Dasher Unisex Ugly Sweatshirt</t>
        </is>
      </c>
      <c r="D933" s="1">
        <v>152348</v>
      </c>
      <c r="E933" s="0" t="inlineStr">
        <is>
          <t>IOWA DASHER M AT:152348D-XL</t>
        </is>
      </c>
      <c r="F933" s="2">
        <v>800152348070</v>
      </c>
      <c r="G933" s="0" t="inlineStr">
        <is>
          <t>MENS</t>
        </is>
      </c>
      <c r="H933" s="0" t="inlineStr">
        <is>
          <t>XL</t>
        </is>
      </c>
      <c r="I933" s="0">
        <v>49.99</v>
      </c>
      <c r="J933" s="0">
        <v>0</v>
      </c>
    </row>
    <row r="934" spans="1:10" customHeight="0">
      <c r="A934" s="0">
        <f>HYPERLINK("https://dl.dropboxusercontent.com/scl/fi/5ty74e4g309rshttq3q7f/dasher-152348-f.jpg?rlkey=wladwmpy986w1nmbukk65pmea&amp;dl=0","Click to download Image")</f>
      </c>
      <c r="B934" s="0">
        <f>HYPERLINK("https://dl.dropboxusercontent.com/scl/fi/lyzrj26noz5rrdb2p4tog/graphic-update2022-mens.jpg?rlkey=8dof6myfisnr382bj6hamdpgp&amp;dl=0","Click to download SizeChart")</f>
      </c>
      <c r="C934" s="0" t="inlineStr">
        <is>
          <t>Dasher Unisex Ugly Sweatshirt</t>
        </is>
      </c>
      <c r="D934" s="1">
        <v>152348</v>
      </c>
      <c r="E934" s="0" t="inlineStr">
        <is>
          <t>IOWA DASHER M AT:152348E-2XL</t>
        </is>
      </c>
      <c r="F934" s="2">
        <v>800152348087</v>
      </c>
      <c r="G934" s="0" t="inlineStr">
        <is>
          <t>MENS</t>
        </is>
      </c>
      <c r="H934" s="0" t="inlineStr">
        <is>
          <t>2XL</t>
        </is>
      </c>
      <c r="I934" s="0">
        <v>49.99</v>
      </c>
      <c r="J934" s="0">
        <v>0</v>
      </c>
    </row>
    <row r="935" spans="1:10" customHeight="0">
      <c r="A935" s="0">
        <f>HYPERLINK("https://dl.dropboxusercontent.com/scl/fi/5ty74e4g309rshttq3q7f/dasher-152348-f.jpg?rlkey=wladwmpy986w1nmbukk65pmea&amp;dl=0","Click to download Image")</f>
      </c>
      <c r="B935" s="0">
        <f>HYPERLINK("https://dl.dropboxusercontent.com/scl/fi/lyzrj26noz5rrdb2p4tog/graphic-update2022-mens.jpg?rlkey=8dof6myfisnr382bj6hamdpgp&amp;dl=0","Click to download SizeChart")</f>
      </c>
      <c r="C935" s="0" t="inlineStr">
        <is>
          <t>Dasher Unisex Ugly Sweatshirt</t>
        </is>
      </c>
      <c r="D935" s="1">
        <v>152348</v>
      </c>
      <c r="E935" s="0" t="inlineStr">
        <is>
          <t>IOWA DASHER M AT:152348F-3XL</t>
        </is>
      </c>
      <c r="F935" s="2">
        <v>800152348094</v>
      </c>
      <c r="G935" s="0" t="inlineStr">
        <is>
          <t>MENS</t>
        </is>
      </c>
      <c r="H935" s="0" t="inlineStr">
        <is>
          <t>3XL</t>
        </is>
      </c>
      <c r="I935" s="0">
        <v>49.99</v>
      </c>
      <c r="J935" s="0">
        <v>4</v>
      </c>
    </row>
    <row r="936" spans="1:10" customHeight="0">
      <c r="A936" s="0">
        <f>HYPERLINK("https://dl.dropboxusercontent.com/scl/fi/5ty74e4g309rshttq3q7f/dasher-152348-f.jpg?rlkey=wladwmpy986w1nmbukk65pmea&amp;dl=0","Click to download Image")</f>
      </c>
      <c r="B936" s="0">
        <f>HYPERLINK("https://dl.dropboxusercontent.com/scl/fi/lyzrj26noz5rrdb2p4tog/graphic-update2022-mens.jpg?rlkey=8dof6myfisnr382bj6hamdpgp&amp;dl=0","Click to download SizeChart")</f>
      </c>
      <c r="C936" s="0" t="inlineStr">
        <is>
          <t>Dasher Unisex Ugly Sweatshirt</t>
        </is>
      </c>
      <c r="D936" s="1">
        <v>152348</v>
      </c>
      <c r="E936" s="0" t="inlineStr">
        <is>
          <t>IOWA DASHER M AT:152348Z-12PK</t>
        </is>
      </c>
      <c r="F936" s="2">
        <v>800152348995</v>
      </c>
      <c r="G936" s="0" t="inlineStr">
        <is>
          <t>MENS</t>
        </is>
      </c>
      <c r="H936" s="0" t="inlineStr">
        <is>
          <t>12 PACK</t>
        </is>
      </c>
      <c r="I936" s="0">
        <v>480</v>
      </c>
      <c r="J936" s="0">
        <v>0</v>
      </c>
    </row>
    <row r="937" spans="1:10" customHeight="0">
      <c r="A937" s="0">
        <f>HYPERLINK("https://dl.dropboxusercontent.com/scl/fi/1hx6cp0xk6ycovqrogrhc/116522f24490.png?rlkey=3hntu2zisckcjed5489poacvy&amp;dl=0","Click to download Image")</f>
      </c>
      <c r="B937" s="0">
        <f>HYPERLINK("https://dl.dropboxusercontent.com/scl/fi/k901l4j9yhs85x7z8czf9/mens-polo-size-chartsfarley.jpg?rlkey=444636gjz6n3wmequeyajphy1&amp;dl=0","Click to download SizeChart")</f>
      </c>
      <c r="C937" s="0" t="inlineStr">
        <is>
          <t>Farley Men's Pique Polo</t>
        </is>
      </c>
      <c r="D937" s="1">
        <v>116522</v>
      </c>
      <c r="E937" s="0" t="inlineStr">
        <is>
          <t>IOWA FARLEY M GREY:116522A-S</t>
        </is>
      </c>
      <c r="F937" s="2">
        <v>800116522041</v>
      </c>
      <c r="G937" s="0" t="inlineStr">
        <is>
          <t>MENS</t>
        </is>
      </c>
      <c r="H937" s="0" t="inlineStr">
        <is>
          <t>S</t>
        </is>
      </c>
      <c r="I937" s="0">
        <v>49.99</v>
      </c>
      <c r="J937" s="0">
        <v>7</v>
      </c>
    </row>
    <row r="938" spans="1:10" customHeight="0">
      <c r="A938" s="0">
        <f>HYPERLINK("https://dl.dropboxusercontent.com/scl/fi/1hx6cp0xk6ycovqrogrhc/116522f24490.png?rlkey=3hntu2zisckcjed5489poacvy&amp;dl=0","Click to download Image")</f>
      </c>
      <c r="B938" s="0">
        <f>HYPERLINK("https://dl.dropboxusercontent.com/scl/fi/k901l4j9yhs85x7z8czf9/mens-polo-size-chartsfarley.jpg?rlkey=444636gjz6n3wmequeyajphy1&amp;dl=0","Click to download SizeChart")</f>
      </c>
      <c r="C938" s="0" t="inlineStr">
        <is>
          <t>Farley Men's Pique Polo</t>
        </is>
      </c>
      <c r="D938" s="1">
        <v>116522</v>
      </c>
      <c r="E938" s="0" t="inlineStr">
        <is>
          <t>IOWA FARLEY M GREY:116522B-M</t>
        </is>
      </c>
      <c r="F938" s="2">
        <v>800116522058</v>
      </c>
      <c r="G938" s="0" t="inlineStr">
        <is>
          <t>MENS</t>
        </is>
      </c>
      <c r="H938" s="0" t="inlineStr">
        <is>
          <t>M</t>
        </is>
      </c>
      <c r="I938" s="0">
        <v>49.99</v>
      </c>
      <c r="J938" s="0">
        <v>6</v>
      </c>
    </row>
    <row r="939" spans="1:10" customHeight="0">
      <c r="A939" s="0">
        <f>HYPERLINK("https://dl.dropboxusercontent.com/scl/fi/1hx6cp0xk6ycovqrogrhc/116522f24490.png?rlkey=3hntu2zisckcjed5489poacvy&amp;dl=0","Click to download Image")</f>
      </c>
      <c r="B939" s="0">
        <f>HYPERLINK("https://dl.dropboxusercontent.com/scl/fi/k901l4j9yhs85x7z8czf9/mens-polo-size-chartsfarley.jpg?rlkey=444636gjz6n3wmequeyajphy1&amp;dl=0","Click to download SizeChart")</f>
      </c>
      <c r="C939" s="0" t="inlineStr">
        <is>
          <t>Farley Men's Pique Polo</t>
        </is>
      </c>
      <c r="D939" s="1">
        <v>116522</v>
      </c>
      <c r="E939" s="0" t="inlineStr">
        <is>
          <t>IOWA FARLEY M GREY:116522C-L</t>
        </is>
      </c>
      <c r="F939" s="2">
        <v>800116522065</v>
      </c>
      <c r="G939" s="0" t="inlineStr">
        <is>
          <t>MENS</t>
        </is>
      </c>
      <c r="H939" s="0" t="inlineStr">
        <is>
          <t>L</t>
        </is>
      </c>
      <c r="I939" s="0">
        <v>49.99</v>
      </c>
      <c r="J939" s="0">
        <v>8</v>
      </c>
    </row>
    <row r="940" spans="1:10" customHeight="0">
      <c r="A940" s="0">
        <f>HYPERLINK("https://dl.dropboxusercontent.com/scl/fi/1hx6cp0xk6ycovqrogrhc/116522f24490.png?rlkey=3hntu2zisckcjed5489poacvy&amp;dl=0","Click to download Image")</f>
      </c>
      <c r="B940" s="0">
        <f>HYPERLINK("https://dl.dropboxusercontent.com/scl/fi/k901l4j9yhs85x7z8czf9/mens-polo-size-chartsfarley.jpg?rlkey=444636gjz6n3wmequeyajphy1&amp;dl=0","Click to download SizeChart")</f>
      </c>
      <c r="C940" s="0" t="inlineStr">
        <is>
          <t>Farley Men's Pique Polo</t>
        </is>
      </c>
      <c r="D940" s="1">
        <v>116522</v>
      </c>
      <c r="E940" s="0" t="inlineStr">
        <is>
          <t>IOWA FARLEY M GREY:116522D-XL</t>
        </is>
      </c>
      <c r="F940" s="2">
        <v>800116522072</v>
      </c>
      <c r="G940" s="0" t="inlineStr">
        <is>
          <t>MENS</t>
        </is>
      </c>
      <c r="H940" s="0" t="inlineStr">
        <is>
          <t>XL</t>
        </is>
      </c>
      <c r="I940" s="0">
        <v>49.99</v>
      </c>
      <c r="J940" s="0">
        <v>7</v>
      </c>
    </row>
    <row r="941" spans="1:10" customHeight="0">
      <c r="A941" s="0">
        <f>HYPERLINK("https://dl.dropboxusercontent.com/scl/fi/1hx6cp0xk6ycovqrogrhc/116522f24490.png?rlkey=3hntu2zisckcjed5489poacvy&amp;dl=0","Click to download Image")</f>
      </c>
      <c r="B941" s="0">
        <f>HYPERLINK("https://dl.dropboxusercontent.com/scl/fi/k901l4j9yhs85x7z8czf9/mens-polo-size-chartsfarley.jpg?rlkey=444636gjz6n3wmequeyajphy1&amp;dl=0","Click to download SizeChart")</f>
      </c>
      <c r="C941" s="0" t="inlineStr">
        <is>
          <t>Farley Men's Pique Polo</t>
        </is>
      </c>
      <c r="D941" s="1">
        <v>116522</v>
      </c>
      <c r="E941" s="0" t="inlineStr">
        <is>
          <t>IOWA FARLEY M GREY:116522E-2XL</t>
        </is>
      </c>
      <c r="F941" s="2">
        <v>800116522089</v>
      </c>
      <c r="G941" s="0" t="inlineStr">
        <is>
          <t>MENS</t>
        </is>
      </c>
      <c r="H941" s="0" t="inlineStr">
        <is>
          <t>2XL</t>
        </is>
      </c>
      <c r="I941" s="0">
        <v>51.99</v>
      </c>
      <c r="J941" s="0">
        <v>5</v>
      </c>
    </row>
    <row r="942" spans="1:10" customHeight="0">
      <c r="A942" s="0">
        <f>HYPERLINK("https://dl.dropboxusercontent.com/scl/fi/1hx6cp0xk6ycovqrogrhc/116522f24490.png?rlkey=3hntu2zisckcjed5489poacvy&amp;dl=0","Click to download Image")</f>
      </c>
      <c r="B942" s="0">
        <f>HYPERLINK("https://dl.dropboxusercontent.com/scl/fi/k901l4j9yhs85x7z8czf9/mens-polo-size-chartsfarley.jpg?rlkey=444636gjz6n3wmequeyajphy1&amp;dl=0","Click to download SizeChart")</f>
      </c>
      <c r="C942" s="0" t="inlineStr">
        <is>
          <t>Farley Men's Pique Polo</t>
        </is>
      </c>
      <c r="D942" s="1">
        <v>116522</v>
      </c>
      <c r="E942" s="0" t="inlineStr">
        <is>
          <t>IOWA FARLEY M GREY:116522F-3XL</t>
        </is>
      </c>
      <c r="F942" s="2">
        <v>800116522096</v>
      </c>
      <c r="G942" s="0" t="inlineStr">
        <is>
          <t>MENS</t>
        </is>
      </c>
      <c r="H942" s="0" t="inlineStr">
        <is>
          <t>3XL</t>
        </is>
      </c>
      <c r="I942" s="0">
        <v>51.99</v>
      </c>
      <c r="J942" s="0">
        <v>3</v>
      </c>
    </row>
    <row r="943" spans="1:10" customHeight="0">
      <c r="A943" s="0">
        <f>HYPERLINK("https://dl.dropboxusercontent.com/scl/fi/1hx6cp0xk6ycovqrogrhc/116522f24490.png?rlkey=3hntu2zisckcjed5489poacvy&amp;dl=0","Click to download Image")</f>
      </c>
      <c r="B943" s="0">
        <f>HYPERLINK("https://dl.dropboxusercontent.com/scl/fi/k901l4j9yhs85x7z8czf9/mens-polo-size-chartsfarley.jpg?rlkey=444636gjz6n3wmequeyajphy1&amp;dl=0","Click to download SizeChart")</f>
      </c>
      <c r="C943" s="0" t="inlineStr">
        <is>
          <t>Farley Men's Pique Polo</t>
        </is>
      </c>
      <c r="D943" s="1">
        <v>116522</v>
      </c>
      <c r="E943" s="0" t="inlineStr">
        <is>
          <t>IOWA FARLEY M GREY 12 PACK:116522Z-12PK</t>
        </is>
      </c>
      <c r="F943" s="2">
        <v>800116522997</v>
      </c>
      <c r="G943" s="0" t="inlineStr">
        <is>
          <t>MENS</t>
        </is>
      </c>
      <c r="H943" s="0" t="inlineStr">
        <is>
          <t>12 PACK</t>
        </is>
      </c>
      <c r="I943" s="0">
        <v>479.76</v>
      </c>
      <c r="J943" s="0">
        <v>0</v>
      </c>
    </row>
    <row r="944" spans="1:10" customHeight="0">
      <c r="A944" s="0">
        <f>HYPERLINK("https://dl.dropboxusercontent.com/scl/fi/y6o9r1gs6ru2ca0ol7o2p/116524-af.jpg?rlkey=pmwnxo6ofalvzogsjksmys60w&amp;dl=0","Click to download Image")</f>
      </c>
      <c r="B944" s="0">
        <f>HYPERLINK("https://dl.dropboxusercontent.com/scl/fi/xlstdimhapsxd4wcwmg52/womens-polo-size-chartsgloria.jpg?rlkey=ty61hfaoe5brtb8q3ysrhz5v4&amp;dl=0","Click to download SizeChart")</f>
      </c>
      <c r="C944" s="0" t="inlineStr">
        <is>
          <t>Gloria Women's Polo</t>
        </is>
      </c>
      <c r="D944" s="1">
        <v>116524</v>
      </c>
      <c r="E944" s="0" t="inlineStr">
        <is>
          <t>IOWA GLORIA W GREY:116524A-S</t>
        </is>
      </c>
      <c r="F944" s="2">
        <v>800116524045</v>
      </c>
      <c r="G944" s="0" t="inlineStr">
        <is>
          <t>WOMENS</t>
        </is>
      </c>
      <c r="H944" s="0" t="inlineStr">
        <is>
          <t>S</t>
        </is>
      </c>
      <c r="I944" s="0">
        <v>49.99</v>
      </c>
      <c r="J944" s="0">
        <v>4</v>
      </c>
    </row>
    <row r="945" spans="1:10" customHeight="0">
      <c r="A945" s="0">
        <f>HYPERLINK("https://dl.dropboxusercontent.com/scl/fi/y6o9r1gs6ru2ca0ol7o2p/116524-af.jpg?rlkey=pmwnxo6ofalvzogsjksmys60w&amp;dl=0","Click to download Image")</f>
      </c>
      <c r="B945" s="0">
        <f>HYPERLINK("https://dl.dropboxusercontent.com/scl/fi/xlstdimhapsxd4wcwmg52/womens-polo-size-chartsgloria.jpg?rlkey=ty61hfaoe5brtb8q3ysrhz5v4&amp;dl=0","Click to download SizeChart")</f>
      </c>
      <c r="C945" s="0" t="inlineStr">
        <is>
          <t>Gloria Women's Polo</t>
        </is>
      </c>
      <c r="D945" s="1">
        <v>116524</v>
      </c>
      <c r="E945" s="0" t="inlineStr">
        <is>
          <t>IOWA GLORIA W GREY:116524B-M</t>
        </is>
      </c>
      <c r="F945" s="2">
        <v>800116524052</v>
      </c>
      <c r="G945" s="0" t="inlineStr">
        <is>
          <t>WOMENS</t>
        </is>
      </c>
      <c r="H945" s="0" t="inlineStr">
        <is>
          <t>M</t>
        </is>
      </c>
      <c r="I945" s="0">
        <v>49.99</v>
      </c>
      <c r="J945" s="0">
        <v>5</v>
      </c>
    </row>
    <row r="946" spans="1:10" customHeight="0">
      <c r="A946" s="0">
        <f>HYPERLINK("https://dl.dropboxusercontent.com/scl/fi/y6o9r1gs6ru2ca0ol7o2p/116524-af.jpg?rlkey=pmwnxo6ofalvzogsjksmys60w&amp;dl=0","Click to download Image")</f>
      </c>
      <c r="B946" s="0">
        <f>HYPERLINK("https://dl.dropboxusercontent.com/scl/fi/xlstdimhapsxd4wcwmg52/womens-polo-size-chartsgloria.jpg?rlkey=ty61hfaoe5brtb8q3ysrhz5v4&amp;dl=0","Click to download SizeChart")</f>
      </c>
      <c r="C946" s="0" t="inlineStr">
        <is>
          <t>Gloria Women's Polo</t>
        </is>
      </c>
      <c r="D946" s="1">
        <v>116524</v>
      </c>
      <c r="E946" s="0" t="inlineStr">
        <is>
          <t>IOWA GLORIA W GREY:116524C-L</t>
        </is>
      </c>
      <c r="F946" s="2">
        <v>800116524069</v>
      </c>
      <c r="G946" s="0" t="inlineStr">
        <is>
          <t>WOMENS</t>
        </is>
      </c>
      <c r="H946" s="0" t="inlineStr">
        <is>
          <t>L</t>
        </is>
      </c>
      <c r="I946" s="0">
        <v>49.99</v>
      </c>
      <c r="J946" s="0">
        <v>8</v>
      </c>
    </row>
    <row r="947" spans="1:10" customHeight="0">
      <c r="A947" s="0">
        <f>HYPERLINK("https://dl.dropboxusercontent.com/scl/fi/y6o9r1gs6ru2ca0ol7o2p/116524-af.jpg?rlkey=pmwnxo6ofalvzogsjksmys60w&amp;dl=0","Click to download Image")</f>
      </c>
      <c r="B947" s="0">
        <f>HYPERLINK("https://dl.dropboxusercontent.com/scl/fi/xlstdimhapsxd4wcwmg52/womens-polo-size-chartsgloria.jpg?rlkey=ty61hfaoe5brtb8q3ysrhz5v4&amp;dl=0","Click to download SizeChart")</f>
      </c>
      <c r="C947" s="0" t="inlineStr">
        <is>
          <t>Gloria Women's Polo</t>
        </is>
      </c>
      <c r="D947" s="1">
        <v>116524</v>
      </c>
      <c r="E947" s="0" t="inlineStr">
        <is>
          <t>IOWA GLORIA W GREY:116524D-XL</t>
        </is>
      </c>
      <c r="F947" s="2">
        <v>800116524076</v>
      </c>
      <c r="G947" s="0" t="inlineStr">
        <is>
          <t>WOMENS</t>
        </is>
      </c>
      <c r="H947" s="0" t="inlineStr">
        <is>
          <t>XL</t>
        </is>
      </c>
      <c r="I947" s="0">
        <v>49.99</v>
      </c>
      <c r="J947" s="0">
        <v>2</v>
      </c>
    </row>
    <row r="948" spans="1:10" customHeight="0">
      <c r="A948" s="0">
        <f>HYPERLINK("https://dl.dropboxusercontent.com/scl/fi/y6o9r1gs6ru2ca0ol7o2p/116524-af.jpg?rlkey=pmwnxo6ofalvzogsjksmys60w&amp;dl=0","Click to download Image")</f>
      </c>
      <c r="B948" s="0">
        <f>HYPERLINK("https://dl.dropboxusercontent.com/scl/fi/xlstdimhapsxd4wcwmg52/womens-polo-size-chartsgloria.jpg?rlkey=ty61hfaoe5brtb8q3ysrhz5v4&amp;dl=0","Click to download SizeChart")</f>
      </c>
      <c r="C948" s="0" t="inlineStr">
        <is>
          <t>Gloria Women's Polo</t>
        </is>
      </c>
      <c r="D948" s="1">
        <v>116524</v>
      </c>
      <c r="E948" s="0" t="inlineStr">
        <is>
          <t>IOWA GLORIA W GREY:116524E-2XL</t>
        </is>
      </c>
      <c r="F948" s="2">
        <v>800116524083</v>
      </c>
      <c r="G948" s="0" t="inlineStr">
        <is>
          <t>WOMENS</t>
        </is>
      </c>
      <c r="H948" s="0" t="inlineStr">
        <is>
          <t>2XL</t>
        </is>
      </c>
      <c r="I948" s="0">
        <v>49.99</v>
      </c>
      <c r="J948" s="0">
        <v>2</v>
      </c>
    </row>
    <row r="949" spans="1:10" customHeight="0">
      <c r="A949" s="0">
        <f>HYPERLINK("https://dl.dropboxusercontent.com/scl/fi/y6o9r1gs6ru2ca0ol7o2p/116524-af.jpg?rlkey=pmwnxo6ofalvzogsjksmys60w&amp;dl=0","Click to download Image")</f>
      </c>
      <c r="B949" s="0">
        <f>HYPERLINK("https://dl.dropboxusercontent.com/scl/fi/xlstdimhapsxd4wcwmg52/womens-polo-size-chartsgloria.jpg?rlkey=ty61hfaoe5brtb8q3ysrhz5v4&amp;dl=0","Click to download SizeChart")</f>
      </c>
      <c r="C949" s="0" t="inlineStr">
        <is>
          <t>Gloria Women's Polo</t>
        </is>
      </c>
      <c r="D949" s="1">
        <v>116524</v>
      </c>
      <c r="E949" s="0" t="inlineStr">
        <is>
          <t>IOWA GLORIA W GREY:116524F-3XL</t>
        </is>
      </c>
      <c r="F949" s="2">
        <v>800116524090</v>
      </c>
      <c r="G949" s="0" t="inlineStr">
        <is>
          <t>WOMENS</t>
        </is>
      </c>
      <c r="H949" s="0" t="inlineStr">
        <is>
          <t>3XL</t>
        </is>
      </c>
      <c r="I949" s="0">
        <v>49.99</v>
      </c>
      <c r="J949" s="0">
        <v>0</v>
      </c>
    </row>
    <row r="950" spans="1:10" customHeight="0">
      <c r="A950" s="0">
        <f>HYPERLINK("https://dl.dropboxusercontent.com/scl/fi/y6o9r1gs6ru2ca0ol7o2p/116524-af.jpg?rlkey=pmwnxo6ofalvzogsjksmys60w&amp;dl=0","Click to download Image")</f>
      </c>
      <c r="B950" s="0">
        <f>HYPERLINK("https://dl.dropboxusercontent.com/scl/fi/xlstdimhapsxd4wcwmg52/womens-polo-size-chartsgloria.jpg?rlkey=ty61hfaoe5brtb8q3ysrhz5v4&amp;dl=0","Click to download SizeChart")</f>
      </c>
      <c r="C950" s="0" t="inlineStr">
        <is>
          <t>Gloria Women's Polo</t>
        </is>
      </c>
      <c r="D950" s="1">
        <v>116524</v>
      </c>
      <c r="E950" s="0" t="inlineStr">
        <is>
          <t>IOWA GLORIA W GREY 12 PACK:116524Z-12PK</t>
        </is>
      </c>
      <c r="F950" s="2">
        <v>800116524991</v>
      </c>
      <c r="G950" s="0" t="inlineStr">
        <is>
          <t>WOMENS</t>
        </is>
      </c>
      <c r="H950" s="0" t="inlineStr">
        <is>
          <t>12 PACK</t>
        </is>
      </c>
      <c r="I950" s="0">
        <v>49.99</v>
      </c>
      <c r="J950" s="0">
        <v>0</v>
      </c>
    </row>
    <row r="951" spans="1:10" customHeight="0">
      <c r="A951" s="0">
        <f>HYPERLINK("https://dl.dropboxusercontent.com/scl/fi/8044bic8x9k7ktyj81nb8/vrtl-iowa-sutton-w-nd-0280374.jpg?rlkey=etg4js80uful1afrv3igsoc5e&amp;dl=0","Click to download Image")</f>
      </c>
      <c r="B951" s="0">
        <f>HYPERLINK("https://dl.dropboxusercontent.com/scl/fi/qeagy8rpn9xey8kdbf374/womens-hoodie-and-sweatshirt-size-chartssutton.jpg?rlkey=xf5jytcabyvblj630efn33w4m&amp;dl=0","Click to download SizeChart")</f>
      </c>
      <c r="C951" s="0" t="inlineStr">
        <is>
          <t>Sutton Women's Sweatshirt</t>
        </is>
      </c>
      <c r="D951" s="1">
        <v>153742</v>
      </c>
      <c r="E951" s="0" t="inlineStr">
        <is>
          <t>IOWA SUTTON W ND:153742A-S</t>
        </is>
      </c>
      <c r="F951" s="2">
        <v>800153742044</v>
      </c>
      <c r="G951" s="0" t="inlineStr">
        <is>
          <t>WOMENS</t>
        </is>
      </c>
      <c r="H951" s="0" t="inlineStr">
        <is>
          <t>S</t>
        </is>
      </c>
      <c r="I951" s="0">
        <v>49.99</v>
      </c>
      <c r="J951" s="0">
        <v>0</v>
      </c>
    </row>
    <row r="952" spans="1:10" customHeight="0">
      <c r="A952" s="0">
        <f>HYPERLINK("https://dl.dropboxusercontent.com/scl/fi/8044bic8x9k7ktyj81nb8/vrtl-iowa-sutton-w-nd-0280374.jpg?rlkey=etg4js80uful1afrv3igsoc5e&amp;dl=0","Click to download Image")</f>
      </c>
      <c r="B952" s="0">
        <f>HYPERLINK("https://dl.dropboxusercontent.com/scl/fi/qeagy8rpn9xey8kdbf374/womens-hoodie-and-sweatshirt-size-chartssutton.jpg?rlkey=xf5jytcabyvblj630efn33w4m&amp;dl=0","Click to download SizeChart")</f>
      </c>
      <c r="C952" s="0" t="inlineStr">
        <is>
          <t>Sutton Women's Sweatshirt</t>
        </is>
      </c>
      <c r="D952" s="1">
        <v>153742</v>
      </c>
      <c r="E952" s="0" t="inlineStr">
        <is>
          <t>IOWA SUTTON W ND:153742B-M</t>
        </is>
      </c>
      <c r="F952" s="2">
        <v>800153742051</v>
      </c>
      <c r="G952" s="0" t="inlineStr">
        <is>
          <t>WOMENS</t>
        </is>
      </c>
      <c r="H952" s="0" t="inlineStr">
        <is>
          <t>M</t>
        </is>
      </c>
      <c r="I952" s="0">
        <v>49.99</v>
      </c>
      <c r="J952" s="0">
        <v>0</v>
      </c>
    </row>
    <row r="953" spans="1:10" customHeight="0">
      <c r="A953" s="0">
        <f>HYPERLINK("https://dl.dropboxusercontent.com/scl/fi/8044bic8x9k7ktyj81nb8/vrtl-iowa-sutton-w-nd-0280374.jpg?rlkey=etg4js80uful1afrv3igsoc5e&amp;dl=0","Click to download Image")</f>
      </c>
      <c r="B953" s="0">
        <f>HYPERLINK("https://dl.dropboxusercontent.com/scl/fi/qeagy8rpn9xey8kdbf374/womens-hoodie-and-sweatshirt-size-chartssutton.jpg?rlkey=xf5jytcabyvblj630efn33w4m&amp;dl=0","Click to download SizeChart")</f>
      </c>
      <c r="C953" s="0" t="inlineStr">
        <is>
          <t>Sutton Women's Sweatshirt</t>
        </is>
      </c>
      <c r="D953" s="1">
        <v>153742</v>
      </c>
      <c r="E953" s="0" t="inlineStr">
        <is>
          <t>IOWA SUTTON W ND:153742C-L</t>
        </is>
      </c>
      <c r="F953" s="2">
        <v>800153742068</v>
      </c>
      <c r="G953" s="0" t="inlineStr">
        <is>
          <t>WOMENS</t>
        </is>
      </c>
      <c r="H953" s="0" t="inlineStr">
        <is>
          <t>L</t>
        </is>
      </c>
      <c r="I953" s="0">
        <v>49.99</v>
      </c>
      <c r="J953" s="0">
        <v>0</v>
      </c>
    </row>
    <row r="954" spans="1:10" customHeight="0">
      <c r="A954" s="0">
        <f>HYPERLINK("https://dl.dropboxusercontent.com/scl/fi/8044bic8x9k7ktyj81nb8/vrtl-iowa-sutton-w-nd-0280374.jpg?rlkey=etg4js80uful1afrv3igsoc5e&amp;dl=0","Click to download Image")</f>
      </c>
      <c r="B954" s="0">
        <f>HYPERLINK("https://dl.dropboxusercontent.com/scl/fi/qeagy8rpn9xey8kdbf374/womens-hoodie-and-sweatshirt-size-chartssutton.jpg?rlkey=xf5jytcabyvblj630efn33w4m&amp;dl=0","Click to download SizeChart")</f>
      </c>
      <c r="C954" s="0" t="inlineStr">
        <is>
          <t>Sutton Women's Sweatshirt</t>
        </is>
      </c>
      <c r="D954" s="1">
        <v>153742</v>
      </c>
      <c r="E954" s="0" t="inlineStr">
        <is>
          <t>IOWA SUTTON W ND:153742D-XL</t>
        </is>
      </c>
      <c r="F954" s="2">
        <v>800153742075</v>
      </c>
      <c r="G954" s="0" t="inlineStr">
        <is>
          <t>WOMENS</t>
        </is>
      </c>
      <c r="H954" s="0" t="inlineStr">
        <is>
          <t>XL</t>
        </is>
      </c>
      <c r="I954" s="0">
        <v>49.99</v>
      </c>
      <c r="J954" s="0">
        <v>0</v>
      </c>
    </row>
    <row r="955" spans="1:10" customHeight="0">
      <c r="A955" s="0">
        <f>HYPERLINK("https://dl.dropboxusercontent.com/scl/fi/8044bic8x9k7ktyj81nb8/vrtl-iowa-sutton-w-nd-0280374.jpg?rlkey=etg4js80uful1afrv3igsoc5e&amp;dl=0","Click to download Image")</f>
      </c>
      <c r="B955" s="0">
        <f>HYPERLINK("https://dl.dropboxusercontent.com/scl/fi/qeagy8rpn9xey8kdbf374/womens-hoodie-and-sweatshirt-size-chartssutton.jpg?rlkey=xf5jytcabyvblj630efn33w4m&amp;dl=0","Click to download SizeChart")</f>
      </c>
      <c r="C955" s="0" t="inlineStr">
        <is>
          <t>Sutton Women's Sweatshirt</t>
        </is>
      </c>
      <c r="D955" s="1">
        <v>153742</v>
      </c>
      <c r="E955" s="0" t="inlineStr">
        <is>
          <t>IOWA SUTTON W ND:153742E-2XL</t>
        </is>
      </c>
      <c r="F955" s="2">
        <v>800153742082</v>
      </c>
      <c r="G955" s="0" t="inlineStr">
        <is>
          <t>WOMENS</t>
        </is>
      </c>
      <c r="H955" s="0" t="inlineStr">
        <is>
          <t>2XL</t>
        </is>
      </c>
      <c r="I955" s="0">
        <v>49.99</v>
      </c>
      <c r="J955" s="0">
        <v>0</v>
      </c>
    </row>
    <row r="956" spans="1:10" customHeight="0">
      <c r="A956" s="0">
        <f>HYPERLINK("https://dl.dropboxusercontent.com/scl/fi/8044bic8x9k7ktyj81nb8/vrtl-iowa-sutton-w-nd-0280374.jpg?rlkey=etg4js80uful1afrv3igsoc5e&amp;dl=0","Click to download Image")</f>
      </c>
      <c r="B956" s="0">
        <f>HYPERLINK("https://dl.dropboxusercontent.com/scl/fi/qeagy8rpn9xey8kdbf374/womens-hoodie-and-sweatshirt-size-chartssutton.jpg?rlkey=xf5jytcabyvblj630efn33w4m&amp;dl=0","Click to download SizeChart")</f>
      </c>
      <c r="C956" s="0" t="inlineStr">
        <is>
          <t>Sutton Women's Sweatshirt</t>
        </is>
      </c>
      <c r="D956" s="1">
        <v>153742</v>
      </c>
      <c r="E956" s="0" t="inlineStr">
        <is>
          <t>IOWA SUTTON W ND:153742F-3XL</t>
        </is>
      </c>
      <c r="F956" s="2">
        <v>800153742099</v>
      </c>
      <c r="G956" s="0" t="inlineStr">
        <is>
          <t>WOMENS</t>
        </is>
      </c>
      <c r="H956" s="0" t="inlineStr">
        <is>
          <t>3XL</t>
        </is>
      </c>
      <c r="I956" s="0">
        <v>49.99</v>
      </c>
      <c r="J956" s="0">
        <v>1</v>
      </c>
    </row>
    <row r="957" spans="1:10" customHeight="0">
      <c r="A957" s="0">
        <f>HYPERLINK("https://dl.dropboxusercontent.com/scl/fi/o97abogym106mhkgq523s/vrtl-iowa-sutton-w-gy-0276815.jpg?rlkey=jxgt0a0vzq2nv866dsrgj39k0&amp;dl=0","Click to download Image")</f>
      </c>
      <c r="B957" s="0">
        <f>HYPERLINK("https://dl.dropboxusercontent.com/scl/fi/qeagy8rpn9xey8kdbf374/womens-hoodie-and-sweatshirt-size-chartssutton.jpg?rlkey=xf5jytcabyvblj630efn33w4m&amp;dl=0","Click to download SizeChart")</f>
      </c>
      <c r="C957" s="0" t="inlineStr">
        <is>
          <t>Sutton Women's Sweatshirt</t>
        </is>
      </c>
      <c r="D957" s="1">
        <v>153741</v>
      </c>
      <c r="E957" s="0" t="inlineStr">
        <is>
          <t>IOWA SUTTON W GY:153741A-S</t>
        </is>
      </c>
      <c r="F957" s="2">
        <v>800153741047</v>
      </c>
      <c r="G957" s="0" t="inlineStr">
        <is>
          <t>WOMENS</t>
        </is>
      </c>
      <c r="H957" s="0" t="inlineStr">
        <is>
          <t>S</t>
        </is>
      </c>
      <c r="I957" s="0">
        <v>49.99</v>
      </c>
      <c r="J957" s="0">
        <v>0</v>
      </c>
    </row>
    <row r="958" spans="1:10" customHeight="0">
      <c r="A958" s="0">
        <f>HYPERLINK("https://dl.dropboxusercontent.com/scl/fi/o97abogym106mhkgq523s/vrtl-iowa-sutton-w-gy-0276815.jpg?rlkey=jxgt0a0vzq2nv866dsrgj39k0&amp;dl=0","Click to download Image")</f>
      </c>
      <c r="B958" s="0">
        <f>HYPERLINK("https://dl.dropboxusercontent.com/scl/fi/qeagy8rpn9xey8kdbf374/womens-hoodie-and-sweatshirt-size-chartssutton.jpg?rlkey=xf5jytcabyvblj630efn33w4m&amp;dl=0","Click to download SizeChart")</f>
      </c>
      <c r="C958" s="0" t="inlineStr">
        <is>
          <t>Sutton Women's Sweatshirt</t>
        </is>
      </c>
      <c r="D958" s="1">
        <v>153741</v>
      </c>
      <c r="E958" s="0" t="inlineStr">
        <is>
          <t>IOWA SUTTON W GY:153741B-M</t>
        </is>
      </c>
      <c r="F958" s="2">
        <v>800153741054</v>
      </c>
      <c r="G958" s="0" t="inlineStr">
        <is>
          <t>WOMENS</t>
        </is>
      </c>
      <c r="H958" s="0" t="inlineStr">
        <is>
          <t>M</t>
        </is>
      </c>
      <c r="I958" s="0">
        <v>49.99</v>
      </c>
      <c r="J958" s="0">
        <v>0</v>
      </c>
    </row>
    <row r="959" spans="1:10" customHeight="0">
      <c r="A959" s="0">
        <f>HYPERLINK("https://dl.dropboxusercontent.com/scl/fi/o97abogym106mhkgq523s/vrtl-iowa-sutton-w-gy-0276815.jpg?rlkey=jxgt0a0vzq2nv866dsrgj39k0&amp;dl=0","Click to download Image")</f>
      </c>
      <c r="B959" s="0">
        <f>HYPERLINK("https://dl.dropboxusercontent.com/scl/fi/qeagy8rpn9xey8kdbf374/womens-hoodie-and-sweatshirt-size-chartssutton.jpg?rlkey=xf5jytcabyvblj630efn33w4m&amp;dl=0","Click to download SizeChart")</f>
      </c>
      <c r="C959" s="0" t="inlineStr">
        <is>
          <t>Sutton Women's Sweatshirt</t>
        </is>
      </c>
      <c r="D959" s="1">
        <v>153741</v>
      </c>
      <c r="E959" s="0" t="inlineStr">
        <is>
          <t>IOWA SUTTON W GY:153741C-L</t>
        </is>
      </c>
      <c r="F959" s="2">
        <v>800153741061</v>
      </c>
      <c r="G959" s="0" t="inlineStr">
        <is>
          <t>WOMENS</t>
        </is>
      </c>
      <c r="H959" s="0" t="inlineStr">
        <is>
          <t>L</t>
        </is>
      </c>
      <c r="I959" s="0">
        <v>49.99</v>
      </c>
      <c r="J959" s="0">
        <v>0</v>
      </c>
    </row>
    <row r="960" spans="1:10" customHeight="0">
      <c r="A960" s="0">
        <f>HYPERLINK("https://dl.dropboxusercontent.com/scl/fi/o97abogym106mhkgq523s/vrtl-iowa-sutton-w-gy-0276815.jpg?rlkey=jxgt0a0vzq2nv866dsrgj39k0&amp;dl=0","Click to download Image")</f>
      </c>
      <c r="B960" s="0">
        <f>HYPERLINK("https://dl.dropboxusercontent.com/scl/fi/qeagy8rpn9xey8kdbf374/womens-hoodie-and-sweatshirt-size-chartssutton.jpg?rlkey=xf5jytcabyvblj630efn33w4m&amp;dl=0","Click to download SizeChart")</f>
      </c>
      <c r="C960" s="0" t="inlineStr">
        <is>
          <t>Sutton Women's Sweatshirt</t>
        </is>
      </c>
      <c r="D960" s="1">
        <v>153741</v>
      </c>
      <c r="E960" s="0" t="inlineStr">
        <is>
          <t>IOWA SUTTON W GY:153741D-XL</t>
        </is>
      </c>
      <c r="F960" s="2">
        <v>800153741078</v>
      </c>
      <c r="G960" s="0" t="inlineStr">
        <is>
          <t>WOMENS</t>
        </is>
      </c>
      <c r="H960" s="0" t="inlineStr">
        <is>
          <t>XL</t>
        </is>
      </c>
      <c r="I960" s="0">
        <v>49.99</v>
      </c>
      <c r="J960" s="0">
        <v>0</v>
      </c>
    </row>
    <row r="961" spans="1:10" customHeight="0">
      <c r="A961" s="0">
        <f>HYPERLINK("https://dl.dropboxusercontent.com/scl/fi/o97abogym106mhkgq523s/vrtl-iowa-sutton-w-gy-0276815.jpg?rlkey=jxgt0a0vzq2nv866dsrgj39k0&amp;dl=0","Click to download Image")</f>
      </c>
      <c r="B961" s="0">
        <f>HYPERLINK("https://dl.dropboxusercontent.com/scl/fi/qeagy8rpn9xey8kdbf374/womens-hoodie-and-sweatshirt-size-chartssutton.jpg?rlkey=xf5jytcabyvblj630efn33w4m&amp;dl=0","Click to download SizeChart")</f>
      </c>
      <c r="C961" s="0" t="inlineStr">
        <is>
          <t>Sutton Women's Sweatshirt</t>
        </is>
      </c>
      <c r="D961" s="1">
        <v>153741</v>
      </c>
      <c r="E961" s="0" t="inlineStr">
        <is>
          <t>IOWA SUTTON W GY:153741E-2XL</t>
        </is>
      </c>
      <c r="F961" s="2">
        <v>800153741085</v>
      </c>
      <c r="G961" s="0" t="inlineStr">
        <is>
          <t>WOMENS</t>
        </is>
      </c>
      <c r="H961" s="0" t="inlineStr">
        <is>
          <t>2XL</t>
        </is>
      </c>
      <c r="I961" s="0">
        <v>49.99</v>
      </c>
      <c r="J961" s="0">
        <v>0</v>
      </c>
    </row>
    <row r="962" spans="1:10" customHeight="0">
      <c r="A962" s="0">
        <f>HYPERLINK("https://dl.dropboxusercontent.com/scl/fi/o97abogym106mhkgq523s/vrtl-iowa-sutton-w-gy-0276815.jpg?rlkey=jxgt0a0vzq2nv866dsrgj39k0&amp;dl=0","Click to download Image")</f>
      </c>
      <c r="B962" s="0">
        <f>HYPERLINK("https://dl.dropboxusercontent.com/scl/fi/qeagy8rpn9xey8kdbf374/womens-hoodie-and-sweatshirt-size-chartssutton.jpg?rlkey=xf5jytcabyvblj630efn33w4m&amp;dl=0","Click to download SizeChart")</f>
      </c>
      <c r="C962" s="0" t="inlineStr">
        <is>
          <t>Sutton Women's Sweatshirt</t>
        </is>
      </c>
      <c r="D962" s="1">
        <v>153741</v>
      </c>
      <c r="E962" s="0" t="inlineStr">
        <is>
          <t>IOWA SUTTON W GY:153741F-3XL</t>
        </is>
      </c>
      <c r="F962" s="2">
        <v>800153741092</v>
      </c>
      <c r="G962" s="0" t="inlineStr">
        <is>
          <t>WOMENS</t>
        </is>
      </c>
      <c r="H962" s="0" t="inlineStr">
        <is>
          <t>3XL</t>
        </is>
      </c>
      <c r="I962" s="0">
        <v>49.99</v>
      </c>
      <c r="J962" s="0">
        <v>2</v>
      </c>
    </row>
    <row r="963" spans="1:10" customHeight="0">
      <c r="A963" s="0">
        <f>HYPERLINK("https://dl.dropboxusercontent.com/scl/fi/59ppbgg0kq7ji8017qg9l/124154t.jpg?rlkey=t8jiuwm1acaer96swfjtgi0ja&amp;dl=0","Click to download Image")</f>
      </c>
      <c r="C963" s="0" t="inlineStr">
        <is>
          <t>Irma Youth T-shirt</t>
        </is>
      </c>
      <c r="D963" s="1">
        <v>124154</v>
      </c>
      <c r="E963" s="0" t="inlineStr">
        <is>
          <t>IOWA IRMA Y GY:124154B-YS</t>
        </is>
      </c>
      <c r="F963" s="2">
        <v>800124154012</v>
      </c>
      <c r="G963" s="0" t="inlineStr">
        <is>
          <t>YOUTH</t>
        </is>
      </c>
      <c r="H963" s="0" t="inlineStr">
        <is>
          <t>YS</t>
        </is>
      </c>
      <c r="I963" s="0">
        <v>29.99</v>
      </c>
      <c r="J963" s="0">
        <v>9</v>
      </c>
    </row>
    <row r="964" spans="1:10" customHeight="0">
      <c r="A964" s="0">
        <f>HYPERLINK("https://dl.dropboxusercontent.com/scl/fi/59ppbgg0kq7ji8017qg9l/124154t.jpg?rlkey=t8jiuwm1acaer96swfjtgi0ja&amp;dl=0","Click to download Image")</f>
      </c>
      <c r="C964" s="0" t="inlineStr">
        <is>
          <t>Irma Youth T-shirt</t>
        </is>
      </c>
      <c r="D964" s="1">
        <v>124154</v>
      </c>
      <c r="E964" s="0" t="inlineStr">
        <is>
          <t>IOWA IRMA Y GY:124154C-YM</t>
        </is>
      </c>
      <c r="F964" s="2">
        <v>800124154029</v>
      </c>
      <c r="G964" s="0" t="inlineStr">
        <is>
          <t>YOUTH</t>
        </is>
      </c>
      <c r="H964" s="0" t="inlineStr">
        <is>
          <t>YM</t>
        </is>
      </c>
      <c r="I964" s="0">
        <v>29.99</v>
      </c>
      <c r="J964" s="0">
        <v>0</v>
      </c>
    </row>
    <row r="965" spans="1:10" customHeight="0">
      <c r="A965" s="0">
        <f>HYPERLINK("https://dl.dropboxusercontent.com/scl/fi/59ppbgg0kq7ji8017qg9l/124154t.jpg?rlkey=t8jiuwm1acaer96swfjtgi0ja&amp;dl=0","Click to download Image")</f>
      </c>
      <c r="C965" s="0" t="inlineStr">
        <is>
          <t>Irma Youth T-shirt</t>
        </is>
      </c>
      <c r="D965" s="1">
        <v>124154</v>
      </c>
      <c r="E965" s="0" t="inlineStr">
        <is>
          <t>IOWA IRMA Y GY:124154D-YL</t>
        </is>
      </c>
      <c r="F965" s="2">
        <v>800124154036</v>
      </c>
      <c r="G965" s="0" t="inlineStr">
        <is>
          <t>YOUTH</t>
        </is>
      </c>
      <c r="H965" s="0" t="inlineStr">
        <is>
          <t>YL</t>
        </is>
      </c>
      <c r="I965" s="0">
        <v>29.99</v>
      </c>
      <c r="J965" s="0">
        <v>14</v>
      </c>
    </row>
    <row r="966" spans="1:10" customHeight="0">
      <c r="A966" s="0">
        <f>HYPERLINK("https://dl.dropboxusercontent.com/scl/fi/59ppbgg0kq7ji8017qg9l/124154t.jpg?rlkey=t8jiuwm1acaer96swfjtgi0ja&amp;dl=0","Click to download Image")</f>
      </c>
      <c r="C966" s="0" t="inlineStr">
        <is>
          <t>Irma Youth T-shirt</t>
        </is>
      </c>
      <c r="D966" s="1">
        <v>124154</v>
      </c>
      <c r="E966" s="0" t="inlineStr">
        <is>
          <t>IOWA IRMA Y GY:124154E-YXL</t>
        </is>
      </c>
      <c r="F966" s="2">
        <v>800124154043</v>
      </c>
      <c r="G966" s="0" t="inlineStr">
        <is>
          <t>YOUTH</t>
        </is>
      </c>
      <c r="H966" s="0" t="inlineStr">
        <is>
          <t>YXL</t>
        </is>
      </c>
      <c r="I966" s="0">
        <v>29.99</v>
      </c>
      <c r="J966" s="0">
        <v>30</v>
      </c>
    </row>
    <row r="967" spans="1:10" customHeight="0">
      <c r="A967" s="0">
        <f>HYPERLINK("https://dl.dropboxusercontent.com/scl/fi/59ppbgg0kq7ji8017qg9l/124154t.jpg?rlkey=t8jiuwm1acaer96swfjtgi0ja&amp;dl=0","Click to download Image")</f>
      </c>
      <c r="C967" s="0" t="inlineStr">
        <is>
          <t>Irma Youth T-shirt</t>
        </is>
      </c>
      <c r="D967" s="1">
        <v>124154</v>
      </c>
      <c r="E967" s="0" t="inlineStr">
        <is>
          <t>IOWA IRMA Y GY 12PK:124154Z-12PK</t>
        </is>
      </c>
      <c r="F967" s="2">
        <v>800124154999</v>
      </c>
      <c r="G967" s="0" t="inlineStr">
        <is>
          <t>YOUTH</t>
        </is>
      </c>
      <c r="H967" s="0" t="inlineStr">
        <is>
          <t>12 PACK</t>
        </is>
      </c>
      <c r="I967" s="0">
        <v>288</v>
      </c>
      <c r="J967" s="0">
        <v>0</v>
      </c>
    </row>
    <row r="968" spans="1:10" customHeight="0">
      <c r="A968" s="0">
        <f>HYPERLINK("https://dl.dropboxusercontent.com/scl/fi/ftzrxkcvtpqf0imd4bglc/126875t.jpg?rlkey=egmaiizadzkq1mn7gztudn35k&amp;dl=0","Click to download Image")</f>
      </c>
      <c r="C968" s="0" t="inlineStr">
        <is>
          <t>Dawne Toddler Cap</t>
        </is>
      </c>
      <c r="D968" s="1">
        <v>126875</v>
      </c>
      <c r="E968" s="0" t="inlineStr">
        <is>
          <t>IOWA DAWNE T GY:126875</t>
        </is>
      </c>
      <c r="F968" s="2">
        <v>700126875048</v>
      </c>
      <c r="G968" s="0" t="inlineStr">
        <is>
          <t>TODDLER</t>
        </is>
      </c>
      <c r="H968" s="0" t="inlineStr">
        <is>
          <t>TODDLER</t>
        </is>
      </c>
      <c r="I968" s="0">
        <v>22.99</v>
      </c>
      <c r="J968" s="0">
        <v>35</v>
      </c>
    </row>
    <row r="969" spans="1:10" customHeight="0">
      <c r="A969" s="0">
        <f>HYPERLINK("https://dl.dropboxusercontent.com/scl/fi/bjgt3bapti9xscx7z4k3l/126875t.jpg?rlkey=bjx1icx5zws6z0c9rchmsq8lm&amp;dl=0","Click to download Image")</f>
      </c>
      <c r="C969" s="0" t="inlineStr">
        <is>
          <t>Dawne Youth Cap</t>
        </is>
      </c>
      <c r="D969" s="1">
        <v>124990</v>
      </c>
      <c r="E969" s="0" t="inlineStr">
        <is>
          <t>IOWA DAWNE Y GY:124990</t>
        </is>
      </c>
      <c r="F969" s="2">
        <v>700124990033</v>
      </c>
      <c r="G969" s="0" t="inlineStr">
        <is>
          <t>YOUTH</t>
        </is>
      </c>
      <c r="H969" s="0" t="inlineStr">
        <is>
          <t>YOUTH</t>
        </is>
      </c>
      <c r="I969" s="0">
        <v>22.99</v>
      </c>
      <c r="J969" s="0">
        <v>3</v>
      </c>
    </row>
    <row r="970" spans="1:10" customHeight="0">
      <c r="A970" s="0">
        <f>HYPERLINK("https://dl.dropboxusercontent.com/scl/fi/p31xtnkv5cm85fataha5z/125016t.jpg?rlkey=5a2czycvprutmic2u539g999b&amp;dl=0","Click to download Image")</f>
      </c>
      <c r="C970" s="0" t="inlineStr">
        <is>
          <t>Rosco Infant Cap</t>
        </is>
      </c>
      <c r="D970" s="1">
        <v>125016</v>
      </c>
      <c r="E970" s="0" t="inlineStr">
        <is>
          <t>IOWA ROSCO I BK:125016</t>
        </is>
      </c>
      <c r="F970" s="2">
        <v>700125016053</v>
      </c>
      <c r="G970" s="0" t="inlineStr">
        <is>
          <t>INFANT</t>
        </is>
      </c>
      <c r="H970" s="0" t="inlineStr">
        <is>
          <t>INFANT</t>
        </is>
      </c>
      <c r="I970" s="0">
        <v>22.99</v>
      </c>
      <c r="J970" s="0">
        <v>8</v>
      </c>
    </row>
    <row r="971" spans="1:10" customHeight="0">
      <c r="A971" s="0">
        <f>HYPERLINK("https://dl.dropboxusercontent.com/scl/fi/vdmsc95sczku30ngjynmo/124764t.jpg?rlkey=1mhhy5sqbhce11pyu3tmn0jbg&amp;dl=0","Click to download Image")</f>
      </c>
      <c r="C971" s="0" t="inlineStr">
        <is>
          <t>Rella Youth Cap</t>
        </is>
      </c>
      <c r="D971" s="1">
        <v>124764</v>
      </c>
      <c r="E971" s="0" t="inlineStr">
        <is>
          <t>IOWA RELLA Y BK:124764</t>
        </is>
      </c>
      <c r="F971" s="2">
        <v>700124764030</v>
      </c>
      <c r="G971" s="0" t="inlineStr">
        <is>
          <t>YOUTH</t>
        </is>
      </c>
      <c r="H971" s="0" t="inlineStr">
        <is>
          <t>YOUTH</t>
        </is>
      </c>
      <c r="I971" s="0">
        <v>22.99</v>
      </c>
      <c r="J971" s="0">
        <v>109</v>
      </c>
    </row>
    <row r="972" spans="1:10" customHeight="0">
      <c r="A972" s="0">
        <f>HYPERLINK("https://dl.dropboxusercontent.com/scl/fi/wnk6uing9kmw3byk0f673/124764-b.jpg?rlkey=djhhh90xn1qlotyqwjwo0tlzk&amp;dl=0","Click to download Image")</f>
      </c>
      <c r="C972" s="0" t="inlineStr">
        <is>
          <t>Rella Toddler Cap</t>
        </is>
      </c>
      <c r="D972" s="1">
        <v>126879</v>
      </c>
      <c r="E972" s="0" t="inlineStr">
        <is>
          <t>IOWA RELLA T BK:126879</t>
        </is>
      </c>
      <c r="F972" s="2">
        <v>700126879046</v>
      </c>
      <c r="G972" s="0" t="inlineStr">
        <is>
          <t>TODDLER</t>
        </is>
      </c>
      <c r="H972" s="0" t="inlineStr">
        <is>
          <t>TODDLER</t>
        </is>
      </c>
      <c r="I972" s="0">
        <v>22.99</v>
      </c>
      <c r="J972" s="0">
        <v>66</v>
      </c>
    </row>
    <row r="973" spans="1:10" customHeight="0">
      <c r="A973" s="0">
        <f>HYPERLINK("https://dl.dropboxusercontent.com/scl/fi/b49cqr4rteqn4jfazozmn/bria153969tn74746.jpg?rlkey=eo8v1cqz0kyh4rq0xyrdnzh0y&amp;dl=0","Click to download Image")</f>
      </c>
      <c r="B973" s="0">
        <f>HYPERLINK("https://dl.dropboxusercontent.com/scl/fi/jesjclek0svukqyzyko83/womens-hoodie-and-sweatshirt-size-chartsbria.jpg?rlkey=bhn7sl0it06zovv2g0r5l8hae&amp;dl=0","Click to download SizeChart")</f>
      </c>
      <c r="C973" s="0" t="inlineStr">
        <is>
          <t>Bria Women's Pullover</t>
        </is>
      </c>
      <c r="D973" s="1">
        <v>153969</v>
      </c>
      <c r="E973" s="0" t="inlineStr">
        <is>
          <t>IOWA BRIA W BK:153969A-S</t>
        </is>
      </c>
      <c r="F973" s="2">
        <v>800153969045</v>
      </c>
      <c r="G973" s="0" t="inlineStr">
        <is>
          <t>WOMENS</t>
        </is>
      </c>
      <c r="H973" s="0" t="inlineStr">
        <is>
          <t>S</t>
        </is>
      </c>
      <c r="I973" s="0">
        <v>64.99</v>
      </c>
      <c r="J973" s="0">
        <v>0</v>
      </c>
    </row>
    <row r="974" spans="1:10" customHeight="0">
      <c r="A974" s="0">
        <f>HYPERLINK("https://dl.dropboxusercontent.com/scl/fi/b49cqr4rteqn4jfazozmn/bria153969tn74746.jpg?rlkey=eo8v1cqz0kyh4rq0xyrdnzh0y&amp;dl=0","Click to download Image")</f>
      </c>
      <c r="B974" s="0">
        <f>HYPERLINK("https://dl.dropboxusercontent.com/scl/fi/jesjclek0svukqyzyko83/womens-hoodie-and-sweatshirt-size-chartsbria.jpg?rlkey=bhn7sl0it06zovv2g0r5l8hae&amp;dl=0","Click to download SizeChart")</f>
      </c>
      <c r="C974" s="0" t="inlineStr">
        <is>
          <t>Bria Women's Pullover</t>
        </is>
      </c>
      <c r="D974" s="1">
        <v>153969</v>
      </c>
      <c r="E974" s="0" t="inlineStr">
        <is>
          <t>IOWA BRIA W BK:153969B-M</t>
        </is>
      </c>
      <c r="F974" s="2">
        <v>800153969052</v>
      </c>
      <c r="G974" s="0" t="inlineStr">
        <is>
          <t>WOMENS</t>
        </is>
      </c>
      <c r="H974" s="0" t="inlineStr">
        <is>
          <t>M</t>
        </is>
      </c>
      <c r="I974" s="0">
        <v>64.99</v>
      </c>
      <c r="J974" s="0">
        <v>0</v>
      </c>
    </row>
    <row r="975" spans="1:10" customHeight="0">
      <c r="A975" s="0">
        <f>HYPERLINK("https://dl.dropboxusercontent.com/scl/fi/b49cqr4rteqn4jfazozmn/bria153969tn74746.jpg?rlkey=eo8v1cqz0kyh4rq0xyrdnzh0y&amp;dl=0","Click to download Image")</f>
      </c>
      <c r="B975" s="0">
        <f>HYPERLINK("https://dl.dropboxusercontent.com/scl/fi/jesjclek0svukqyzyko83/womens-hoodie-and-sweatshirt-size-chartsbria.jpg?rlkey=bhn7sl0it06zovv2g0r5l8hae&amp;dl=0","Click to download SizeChart")</f>
      </c>
      <c r="C975" s="0" t="inlineStr">
        <is>
          <t>Bria Women's Pullover</t>
        </is>
      </c>
      <c r="D975" s="1">
        <v>153969</v>
      </c>
      <c r="E975" s="0" t="inlineStr">
        <is>
          <t>IOWA BRIA W BK:153969C-L</t>
        </is>
      </c>
      <c r="F975" s="2">
        <v>800153969069</v>
      </c>
      <c r="G975" s="0" t="inlineStr">
        <is>
          <t>WOMENS</t>
        </is>
      </c>
      <c r="H975" s="0" t="inlineStr">
        <is>
          <t>L</t>
        </is>
      </c>
      <c r="I975" s="0">
        <v>64.99</v>
      </c>
      <c r="J975" s="0">
        <v>3</v>
      </c>
    </row>
    <row r="976" spans="1:10" customHeight="0">
      <c r="A976" s="0">
        <f>HYPERLINK("https://dl.dropboxusercontent.com/scl/fi/b49cqr4rteqn4jfazozmn/bria153969tn74746.jpg?rlkey=eo8v1cqz0kyh4rq0xyrdnzh0y&amp;dl=0","Click to download Image")</f>
      </c>
      <c r="B976" s="0">
        <f>HYPERLINK("https://dl.dropboxusercontent.com/scl/fi/jesjclek0svukqyzyko83/womens-hoodie-and-sweatshirt-size-chartsbria.jpg?rlkey=bhn7sl0it06zovv2g0r5l8hae&amp;dl=0","Click to download SizeChart")</f>
      </c>
      <c r="C976" s="0" t="inlineStr">
        <is>
          <t>Bria Women's Pullover</t>
        </is>
      </c>
      <c r="D976" s="1">
        <v>153969</v>
      </c>
      <c r="E976" s="0" t="inlineStr">
        <is>
          <t>IOWA BRIA W BK:153969D-XL</t>
        </is>
      </c>
      <c r="F976" s="2">
        <v>800153969076</v>
      </c>
      <c r="G976" s="0" t="inlineStr">
        <is>
          <t>WOMENS</t>
        </is>
      </c>
      <c r="H976" s="0" t="inlineStr">
        <is>
          <t>XL</t>
        </is>
      </c>
      <c r="I976" s="0">
        <v>64.99</v>
      </c>
      <c r="J976" s="0">
        <v>3</v>
      </c>
    </row>
    <row r="977" spans="1:10" customHeight="0">
      <c r="A977" s="0">
        <f>HYPERLINK("https://dl.dropboxusercontent.com/scl/fi/b49cqr4rteqn4jfazozmn/bria153969tn74746.jpg?rlkey=eo8v1cqz0kyh4rq0xyrdnzh0y&amp;dl=0","Click to download Image")</f>
      </c>
      <c r="B977" s="0">
        <f>HYPERLINK("https://dl.dropboxusercontent.com/scl/fi/jesjclek0svukqyzyko83/womens-hoodie-and-sweatshirt-size-chartsbria.jpg?rlkey=bhn7sl0it06zovv2g0r5l8hae&amp;dl=0","Click to download SizeChart")</f>
      </c>
      <c r="C977" s="0" t="inlineStr">
        <is>
          <t>Bria Women's Pullover</t>
        </is>
      </c>
      <c r="D977" s="1">
        <v>153969</v>
      </c>
      <c r="E977" s="0" t="inlineStr">
        <is>
          <t>IOWA BRIA W BK:153969E-2XL</t>
        </is>
      </c>
      <c r="F977" s="2">
        <v>800153969083</v>
      </c>
      <c r="G977" s="0" t="inlineStr">
        <is>
          <t>WOMENS</t>
        </is>
      </c>
      <c r="H977" s="0" t="inlineStr">
        <is>
          <t>2XL</t>
        </is>
      </c>
      <c r="I977" s="0">
        <v>64.99</v>
      </c>
      <c r="J977" s="0">
        <v>1</v>
      </c>
    </row>
    <row r="978" spans="1:10" customHeight="0">
      <c r="A978" s="0">
        <f>HYPERLINK("https://dl.dropboxusercontent.com/scl/fi/b49cqr4rteqn4jfazozmn/bria153969tn74746.jpg?rlkey=eo8v1cqz0kyh4rq0xyrdnzh0y&amp;dl=0","Click to download Image")</f>
      </c>
      <c r="B978" s="0">
        <f>HYPERLINK("https://dl.dropboxusercontent.com/scl/fi/jesjclek0svukqyzyko83/womens-hoodie-and-sweatshirt-size-chartsbria.jpg?rlkey=bhn7sl0it06zovv2g0r5l8hae&amp;dl=0","Click to download SizeChart")</f>
      </c>
      <c r="C978" s="0" t="inlineStr">
        <is>
          <t>Bria Women's Pullover</t>
        </is>
      </c>
      <c r="D978" s="1">
        <v>153969</v>
      </c>
      <c r="E978" s="0" t="inlineStr">
        <is>
          <t>IOWA BRIA W BK:153969F-3XL</t>
        </is>
      </c>
      <c r="F978" s="2">
        <v>800153969090</v>
      </c>
      <c r="G978" s="0" t="inlineStr">
        <is>
          <t>WOMENS</t>
        </is>
      </c>
      <c r="H978" s="0" t="inlineStr">
        <is>
          <t>3XL</t>
        </is>
      </c>
      <c r="I978" s="0">
        <v>64.99</v>
      </c>
      <c r="J978" s="0">
        <v>2</v>
      </c>
    </row>
    <row r="979" spans="1:10" customHeight="0">
      <c r="A979" s="0">
        <f>HYPERLINK("https://dl.dropboxusercontent.com/scl/fi/a2uz7wcpbn531yd39mi7s/aries58463.jpg?rlkey=goc9j0sy2nknnlvvfqlr7mfbo&amp;dl=0","Click to download Image")</f>
      </c>
      <c r="B979" s="0">
        <f>HYPERLINK("https://dl.dropboxusercontent.com/scl/fi/vn5xgjyvhs9z5xmynt8go/womens-size-chartsaries.jpg?rlkey=z8pcv2fj5d0wepf5k08yi5nt7&amp;dl=0","Click to download SizeChart")</f>
      </c>
      <c r="C979" s="0" t="inlineStr">
        <is>
          <t>Aries Women's Jacket</t>
        </is>
      </c>
      <c r="D979" s="1">
        <v>111000</v>
      </c>
      <c r="E979" s="0" t="inlineStr">
        <is>
          <t>IOWA ARIES:111000AA - XS</t>
        </is>
      </c>
      <c r="G979" s="0" t="inlineStr">
        <is>
          <t>WOMENS</t>
        </is>
      </c>
      <c r="H979" s="0" t="inlineStr">
        <is>
          <t>XS</t>
        </is>
      </c>
      <c r="I979" s="0">
        <v>69.99</v>
      </c>
      <c r="J979" s="0">
        <v>24</v>
      </c>
    </row>
    <row r="980" spans="1:10" customHeight="0">
      <c r="A980" s="0">
        <f>HYPERLINK("https://dl.dropboxusercontent.com/scl/fi/a2uz7wcpbn531yd39mi7s/aries58463.jpg?rlkey=goc9j0sy2nknnlvvfqlr7mfbo&amp;dl=0","Click to download Image")</f>
      </c>
      <c r="B980" s="0">
        <f>HYPERLINK("https://dl.dropboxusercontent.com/scl/fi/vn5xgjyvhs9z5xmynt8go/womens-size-chartsaries.jpg?rlkey=z8pcv2fj5d0wepf5k08yi5nt7&amp;dl=0","Click to download SizeChart")</f>
      </c>
      <c r="C980" s="0" t="inlineStr">
        <is>
          <t>Aries Women's Jacket</t>
        </is>
      </c>
      <c r="D980" s="1">
        <v>111000</v>
      </c>
      <c r="E980" s="0" t="inlineStr">
        <is>
          <t>IOWA ARIES:111000A - S</t>
        </is>
      </c>
      <c r="G980" s="0" t="inlineStr">
        <is>
          <t>WOMENS</t>
        </is>
      </c>
      <c r="H980" s="0" t="inlineStr">
        <is>
          <t>S</t>
        </is>
      </c>
      <c r="I980" s="0">
        <v>69.99</v>
      </c>
      <c r="J980" s="0">
        <v>35</v>
      </c>
    </row>
    <row r="981" spans="1:10" customHeight="0">
      <c r="A981" s="0">
        <f>HYPERLINK("https://dl.dropboxusercontent.com/scl/fi/a2uz7wcpbn531yd39mi7s/aries58463.jpg?rlkey=goc9j0sy2nknnlvvfqlr7mfbo&amp;dl=0","Click to download Image")</f>
      </c>
      <c r="B981" s="0">
        <f>HYPERLINK("https://dl.dropboxusercontent.com/scl/fi/vn5xgjyvhs9z5xmynt8go/womens-size-chartsaries.jpg?rlkey=z8pcv2fj5d0wepf5k08yi5nt7&amp;dl=0","Click to download SizeChart")</f>
      </c>
      <c r="C981" s="0" t="inlineStr">
        <is>
          <t>Aries Women's Jacket</t>
        </is>
      </c>
      <c r="D981" s="1">
        <v>111000</v>
      </c>
      <c r="E981" s="0" t="inlineStr">
        <is>
          <t>IOWA ARIES:111000B - M</t>
        </is>
      </c>
      <c r="G981" s="0" t="inlineStr">
        <is>
          <t>WOMENS</t>
        </is>
      </c>
      <c r="H981" s="0" t="inlineStr">
        <is>
          <t>M</t>
        </is>
      </c>
      <c r="I981" s="0">
        <v>69.99</v>
      </c>
      <c r="J981" s="0">
        <v>34</v>
      </c>
    </row>
    <row r="982" spans="1:10" customHeight="0">
      <c r="A982" s="0">
        <f>HYPERLINK("https://dl.dropboxusercontent.com/scl/fi/a2uz7wcpbn531yd39mi7s/aries58463.jpg?rlkey=goc9j0sy2nknnlvvfqlr7mfbo&amp;dl=0","Click to download Image")</f>
      </c>
      <c r="B982" s="0">
        <f>HYPERLINK("https://dl.dropboxusercontent.com/scl/fi/vn5xgjyvhs9z5xmynt8go/womens-size-chartsaries.jpg?rlkey=z8pcv2fj5d0wepf5k08yi5nt7&amp;dl=0","Click to download SizeChart")</f>
      </c>
      <c r="C982" s="0" t="inlineStr">
        <is>
          <t>Aries Women's Jacket</t>
        </is>
      </c>
      <c r="D982" s="1">
        <v>111000</v>
      </c>
      <c r="E982" s="0" t="inlineStr">
        <is>
          <t>IOWA ARIES:111000C - L</t>
        </is>
      </c>
      <c r="G982" s="0" t="inlineStr">
        <is>
          <t>WOMENS</t>
        </is>
      </c>
      <c r="H982" s="0" t="inlineStr">
        <is>
          <t>L</t>
        </is>
      </c>
      <c r="I982" s="0">
        <v>69.99</v>
      </c>
      <c r="J982" s="0">
        <v>23</v>
      </c>
    </row>
    <row r="983" spans="1:10" customHeight="0">
      <c r="A983" s="0">
        <f>HYPERLINK("https://dl.dropboxusercontent.com/scl/fi/a2uz7wcpbn531yd39mi7s/aries58463.jpg?rlkey=goc9j0sy2nknnlvvfqlr7mfbo&amp;dl=0","Click to download Image")</f>
      </c>
      <c r="B983" s="0">
        <f>HYPERLINK("https://dl.dropboxusercontent.com/scl/fi/vn5xgjyvhs9z5xmynt8go/womens-size-chartsaries.jpg?rlkey=z8pcv2fj5d0wepf5k08yi5nt7&amp;dl=0","Click to download SizeChart")</f>
      </c>
      <c r="C983" s="0" t="inlineStr">
        <is>
          <t>Aries Women's Jacket</t>
        </is>
      </c>
      <c r="D983" s="1">
        <v>111000</v>
      </c>
      <c r="E983" s="0" t="inlineStr">
        <is>
          <t>IOWA ARIES:111000D - XL</t>
        </is>
      </c>
      <c r="G983" s="0" t="inlineStr">
        <is>
          <t>WOMENS</t>
        </is>
      </c>
      <c r="H983" s="0" t="inlineStr">
        <is>
          <t>XL</t>
        </is>
      </c>
      <c r="I983" s="0">
        <v>69.99</v>
      </c>
      <c r="J983" s="0">
        <v>24</v>
      </c>
    </row>
    <row r="984" spans="1:10" customHeight="0">
      <c r="A984" s="0">
        <f>HYPERLINK("https://dl.dropboxusercontent.com/scl/fi/a2uz7wcpbn531yd39mi7s/aries58463.jpg?rlkey=goc9j0sy2nknnlvvfqlr7mfbo&amp;dl=0","Click to download Image")</f>
      </c>
      <c r="B984" s="0">
        <f>HYPERLINK("https://dl.dropboxusercontent.com/scl/fi/vn5xgjyvhs9z5xmynt8go/womens-size-chartsaries.jpg?rlkey=z8pcv2fj5d0wepf5k08yi5nt7&amp;dl=0","Click to download SizeChart")</f>
      </c>
      <c r="C984" s="0" t="inlineStr">
        <is>
          <t>Aries Women's Jacket</t>
        </is>
      </c>
      <c r="D984" s="1">
        <v>111000</v>
      </c>
      <c r="E984" s="0" t="inlineStr">
        <is>
          <t>IOWA ARIES:111000E - 2XL</t>
        </is>
      </c>
      <c r="G984" s="0" t="inlineStr">
        <is>
          <t>WOMENS</t>
        </is>
      </c>
      <c r="H984" s="0" t="inlineStr">
        <is>
          <t>2XL</t>
        </is>
      </c>
      <c r="I984" s="0">
        <v>69.99</v>
      </c>
      <c r="J984" s="0">
        <v>12</v>
      </c>
    </row>
    <row r="985" spans="1:10" customHeight="0">
      <c r="A985" s="0">
        <f>HYPERLINK("https://dl.dropboxusercontent.com/scl/fi/a2uz7wcpbn531yd39mi7s/aries58463.jpg?rlkey=goc9j0sy2nknnlvvfqlr7mfbo&amp;dl=0","Click to download Image")</f>
      </c>
      <c r="B985" s="0">
        <f>HYPERLINK("https://dl.dropboxusercontent.com/scl/fi/vn5xgjyvhs9z5xmynt8go/womens-size-chartsaries.jpg?rlkey=z8pcv2fj5d0wepf5k08yi5nt7&amp;dl=0","Click to download SizeChart")</f>
      </c>
      <c r="C985" s="0" t="inlineStr">
        <is>
          <t>Aries Women's Jacket</t>
        </is>
      </c>
      <c r="D985" s="1">
        <v>111000</v>
      </c>
      <c r="E985" s="0" t="inlineStr">
        <is>
          <t>IOWA ARIES:111000F - 3XL</t>
        </is>
      </c>
      <c r="G985" s="0" t="inlineStr">
        <is>
          <t>WOMENS</t>
        </is>
      </c>
      <c r="H985" s="0" t="inlineStr">
        <is>
          <t>3XL</t>
        </is>
      </c>
      <c r="I985" s="0">
        <v>69.99</v>
      </c>
      <c r="J985" s="0">
        <v>12</v>
      </c>
    </row>
    <row r="986" spans="1:10" customHeight="0">
      <c r="A986" s="0">
        <f>HYPERLINK("https://dl.dropboxusercontent.com/scl/fi/sjm9npxmjfwxcwwg6w549/aries58463.jpg?rlkey=thldh2glv15m33l7186wtc8oy&amp;dl=0","Click to download Image")</f>
      </c>
      <c r="B986" s="0">
        <f>HYPERLINK("https://dl.dropboxusercontent.com/scl/fi/vn5xgjyvhs9z5xmynt8go/womens-size-chartsaries.jpg?rlkey=z8pcv2fj5d0wepf5k08yi5nt7&amp;dl=0","Click to download SizeChart")</f>
      </c>
      <c r="C986" s="0" t="inlineStr">
        <is>
          <t>Aries Women's Jacket</t>
        </is>
      </c>
      <c r="D986" s="1">
        <v>111657</v>
      </c>
      <c r="E986" s="0" t="inlineStr">
        <is>
          <t>IOWA ARIES BLACK:111657AA - XS</t>
        </is>
      </c>
      <c r="G986" s="0" t="inlineStr">
        <is>
          <t>WOMENS</t>
        </is>
      </c>
      <c r="H986" s="0" t="inlineStr">
        <is>
          <t>XS</t>
        </is>
      </c>
      <c r="I986" s="0">
        <v>69.99</v>
      </c>
      <c r="J986" s="0">
        <v>22</v>
      </c>
    </row>
    <row r="987" spans="1:10" customHeight="0">
      <c r="A987" s="0">
        <f>HYPERLINK("https://dl.dropboxusercontent.com/scl/fi/sjm9npxmjfwxcwwg6w549/aries58463.jpg?rlkey=thldh2glv15m33l7186wtc8oy&amp;dl=0","Click to download Image")</f>
      </c>
      <c r="B987" s="0">
        <f>HYPERLINK("https://dl.dropboxusercontent.com/scl/fi/vn5xgjyvhs9z5xmynt8go/womens-size-chartsaries.jpg?rlkey=z8pcv2fj5d0wepf5k08yi5nt7&amp;dl=0","Click to download SizeChart")</f>
      </c>
      <c r="C987" s="0" t="inlineStr">
        <is>
          <t>Aries Women's Jacket</t>
        </is>
      </c>
      <c r="D987" s="1">
        <v>111657</v>
      </c>
      <c r="E987" s="0" t="inlineStr">
        <is>
          <t>IOWA ARIES BLACK:111657A - S</t>
        </is>
      </c>
      <c r="G987" s="0" t="inlineStr">
        <is>
          <t>WOMENS</t>
        </is>
      </c>
      <c r="H987" s="0" t="inlineStr">
        <is>
          <t>S</t>
        </is>
      </c>
      <c r="I987" s="0">
        <v>69.99</v>
      </c>
      <c r="J987" s="0">
        <v>26</v>
      </c>
    </row>
    <row r="988" spans="1:10" customHeight="0">
      <c r="A988" s="0">
        <f>HYPERLINK("https://dl.dropboxusercontent.com/scl/fi/sjm9npxmjfwxcwwg6w549/aries58463.jpg?rlkey=thldh2glv15m33l7186wtc8oy&amp;dl=0","Click to download Image")</f>
      </c>
      <c r="B988" s="0">
        <f>HYPERLINK("https://dl.dropboxusercontent.com/scl/fi/vn5xgjyvhs9z5xmynt8go/womens-size-chartsaries.jpg?rlkey=z8pcv2fj5d0wepf5k08yi5nt7&amp;dl=0","Click to download SizeChart")</f>
      </c>
      <c r="C988" s="0" t="inlineStr">
        <is>
          <t>Aries Women's Jacket</t>
        </is>
      </c>
      <c r="D988" s="1">
        <v>111657</v>
      </c>
      <c r="E988" s="0" t="inlineStr">
        <is>
          <t>IOWA ARIES BLACK:111657B - M</t>
        </is>
      </c>
      <c r="G988" s="0" t="inlineStr">
        <is>
          <t>WOMENS</t>
        </is>
      </c>
      <c r="H988" s="0" t="inlineStr">
        <is>
          <t>M</t>
        </is>
      </c>
      <c r="I988" s="0">
        <v>69.99</v>
      </c>
      <c r="J988" s="0">
        <v>21</v>
      </c>
    </row>
    <row r="989" spans="1:10" customHeight="0">
      <c r="A989" s="0">
        <f>HYPERLINK("https://dl.dropboxusercontent.com/scl/fi/sjm9npxmjfwxcwwg6w549/aries58463.jpg?rlkey=thldh2glv15m33l7186wtc8oy&amp;dl=0","Click to download Image")</f>
      </c>
      <c r="B989" s="0">
        <f>HYPERLINK("https://dl.dropboxusercontent.com/scl/fi/vn5xgjyvhs9z5xmynt8go/womens-size-chartsaries.jpg?rlkey=z8pcv2fj5d0wepf5k08yi5nt7&amp;dl=0","Click to download SizeChart")</f>
      </c>
      <c r="C989" s="0" t="inlineStr">
        <is>
          <t>Aries Women's Jacket</t>
        </is>
      </c>
      <c r="D989" s="1">
        <v>111657</v>
      </c>
      <c r="E989" s="0" t="inlineStr">
        <is>
          <t>IOWA ARIES BLACK:111657C - L</t>
        </is>
      </c>
      <c r="G989" s="0" t="inlineStr">
        <is>
          <t>WOMENS</t>
        </is>
      </c>
      <c r="H989" s="0" t="inlineStr">
        <is>
          <t>L</t>
        </is>
      </c>
      <c r="I989" s="0">
        <v>69.99</v>
      </c>
      <c r="J989" s="0">
        <v>8</v>
      </c>
    </row>
    <row r="990" spans="1:10" customHeight="0">
      <c r="A990" s="0">
        <f>HYPERLINK("https://dl.dropboxusercontent.com/scl/fi/sjm9npxmjfwxcwwg6w549/aries58463.jpg?rlkey=thldh2glv15m33l7186wtc8oy&amp;dl=0","Click to download Image")</f>
      </c>
      <c r="B990" s="0">
        <f>HYPERLINK("https://dl.dropboxusercontent.com/scl/fi/vn5xgjyvhs9z5xmynt8go/womens-size-chartsaries.jpg?rlkey=z8pcv2fj5d0wepf5k08yi5nt7&amp;dl=0","Click to download SizeChart")</f>
      </c>
      <c r="C990" s="0" t="inlineStr">
        <is>
          <t>Aries Women's Jacket</t>
        </is>
      </c>
      <c r="D990" s="1">
        <v>111657</v>
      </c>
      <c r="E990" s="0" t="inlineStr">
        <is>
          <t>IOWA ARIES BLACK:111657D - XL</t>
        </is>
      </c>
      <c r="G990" s="0" t="inlineStr">
        <is>
          <t>WOMENS</t>
        </is>
      </c>
      <c r="H990" s="0" t="inlineStr">
        <is>
          <t>XL</t>
        </is>
      </c>
      <c r="I990" s="0">
        <v>69.99</v>
      </c>
      <c r="J990" s="0">
        <v>13</v>
      </c>
    </row>
    <row r="991" spans="1:10" customHeight="0">
      <c r="A991" s="0">
        <f>HYPERLINK("https://dl.dropboxusercontent.com/scl/fi/sjm9npxmjfwxcwwg6w549/aries58463.jpg?rlkey=thldh2glv15m33l7186wtc8oy&amp;dl=0","Click to download Image")</f>
      </c>
      <c r="B991" s="0">
        <f>HYPERLINK("https://dl.dropboxusercontent.com/scl/fi/vn5xgjyvhs9z5xmynt8go/womens-size-chartsaries.jpg?rlkey=z8pcv2fj5d0wepf5k08yi5nt7&amp;dl=0","Click to download SizeChart")</f>
      </c>
      <c r="C991" s="0" t="inlineStr">
        <is>
          <t>Aries Women's Jacket</t>
        </is>
      </c>
      <c r="D991" s="1">
        <v>111657</v>
      </c>
      <c r="E991" s="0" t="inlineStr">
        <is>
          <t>IOWA ARIES BLACK:111657E - 2XL</t>
        </is>
      </c>
      <c r="G991" s="0" t="inlineStr">
        <is>
          <t>WOMENS</t>
        </is>
      </c>
      <c r="H991" s="0" t="inlineStr">
        <is>
          <t>2XL</t>
        </is>
      </c>
      <c r="I991" s="0">
        <v>69.99</v>
      </c>
      <c r="J991" s="0">
        <v>12</v>
      </c>
    </row>
    <row r="992" spans="1:10" customHeight="0">
      <c r="A992" s="0">
        <f>HYPERLINK("https://dl.dropboxusercontent.com/scl/fi/sjm9npxmjfwxcwwg6w549/aries58463.jpg?rlkey=thldh2glv15m33l7186wtc8oy&amp;dl=0","Click to download Image")</f>
      </c>
      <c r="B992" s="0">
        <f>HYPERLINK("https://dl.dropboxusercontent.com/scl/fi/vn5xgjyvhs9z5xmynt8go/womens-size-chartsaries.jpg?rlkey=z8pcv2fj5d0wepf5k08yi5nt7&amp;dl=0","Click to download SizeChart")</f>
      </c>
      <c r="C992" s="0" t="inlineStr">
        <is>
          <t>Aries Women's Jacket</t>
        </is>
      </c>
      <c r="D992" s="1">
        <v>111657</v>
      </c>
      <c r="E992" s="0" t="inlineStr">
        <is>
          <t>IOWA ARIES BLACK:111657F - 3XL</t>
        </is>
      </c>
      <c r="G992" s="0" t="inlineStr">
        <is>
          <t>WOMENS</t>
        </is>
      </c>
      <c r="H992" s="0" t="inlineStr">
        <is>
          <t>3XL</t>
        </is>
      </c>
      <c r="I992" s="0">
        <v>69.99</v>
      </c>
      <c r="J992" s="0">
        <v>12</v>
      </c>
    </row>
    <row r="993" spans="1:10" customHeight="0">
      <c r="A993" s="0">
        <f>HYPERLINK("https://dl.dropboxusercontent.com/scl/fi/xv4i5pg2jj1vok84q3s03/vrtl-ia-fleet-m-bk-v1-0299109.jpg?rlkey=n4tk0fobgoerdif3dh9ci1izi&amp;dl=0","Click to download Image")</f>
      </c>
      <c r="B993" s="0">
        <f>HYPERLINK("https://dl.dropboxusercontent.com/scl/fi/8iw3zaohw83ttg3pegqea/mens-polo-size-chartsfleet.jpg?rlkey=vswpw97ecdncmzqswqlvuv3w9&amp;dl=0","Click to download SizeChart")</f>
      </c>
      <c r="C993" s="0" t="inlineStr">
        <is>
          <t>Fleet Men's Polo - Small Only</t>
        </is>
      </c>
      <c r="D993" s="1">
        <v>153964</v>
      </c>
      <c r="E993" s="0" t="inlineStr">
        <is>
          <t>IOWA FLEET M BK:153964A-S</t>
        </is>
      </c>
      <c r="F993" s="2">
        <v>800153964040</v>
      </c>
      <c r="G993" s="0" t="inlineStr">
        <is>
          <t>MENS</t>
        </is>
      </c>
      <c r="H993" s="0" t="inlineStr">
        <is>
          <t>S</t>
        </is>
      </c>
      <c r="I993" s="0">
        <v>54.99</v>
      </c>
      <c r="J993" s="0">
        <v>1</v>
      </c>
    </row>
    <row r="994" spans="1:10" customHeight="0">
      <c r="A994" s="0">
        <f>HYPERLINK("https://dl.dropboxusercontent.com/scl/fi/xv4i5pg2jj1vok84q3s03/vrtl-ia-fleet-m-bk-v1-0299109.jpg?rlkey=n4tk0fobgoerdif3dh9ci1izi&amp;dl=0","Click to download Image")</f>
      </c>
      <c r="B994" s="0">
        <f>HYPERLINK("https://dl.dropboxusercontent.com/scl/fi/8iw3zaohw83ttg3pegqea/mens-polo-size-chartsfleet.jpg?rlkey=vswpw97ecdncmzqswqlvuv3w9&amp;dl=0","Click to download SizeChart")</f>
      </c>
      <c r="C994" s="0" t="inlineStr">
        <is>
          <t>Fleet Men's Polo - Small Only</t>
        </is>
      </c>
      <c r="D994" s="1">
        <v>153964</v>
      </c>
      <c r="E994" s="0" t="inlineStr">
        <is>
          <t>IOWA FLEET M BK:153964B-M</t>
        </is>
      </c>
      <c r="F994" s="2">
        <v>800153964057</v>
      </c>
      <c r="G994" s="0" t="inlineStr">
        <is>
          <t>MENS</t>
        </is>
      </c>
      <c r="H994" s="0" t="inlineStr">
        <is>
          <t>M</t>
        </is>
      </c>
      <c r="I994" s="0">
        <v>54.99</v>
      </c>
      <c r="J994" s="0">
        <v>0</v>
      </c>
    </row>
    <row r="995" spans="1:10" customHeight="0">
      <c r="A995" s="0">
        <f>HYPERLINK("https://dl.dropboxusercontent.com/scl/fi/xv4i5pg2jj1vok84q3s03/vrtl-ia-fleet-m-bk-v1-0299109.jpg?rlkey=n4tk0fobgoerdif3dh9ci1izi&amp;dl=0","Click to download Image")</f>
      </c>
      <c r="B995" s="0">
        <f>HYPERLINK("https://dl.dropboxusercontent.com/scl/fi/8iw3zaohw83ttg3pegqea/mens-polo-size-chartsfleet.jpg?rlkey=vswpw97ecdncmzqswqlvuv3w9&amp;dl=0","Click to download SizeChart")</f>
      </c>
      <c r="C995" s="0" t="inlineStr">
        <is>
          <t>Fleet Men's Polo - Small Only</t>
        </is>
      </c>
      <c r="D995" s="1">
        <v>153964</v>
      </c>
      <c r="E995" s="0" t="inlineStr">
        <is>
          <t>IOWA FLEET M BK:153964C-L</t>
        </is>
      </c>
      <c r="F995" s="2">
        <v>800153964064</v>
      </c>
      <c r="G995" s="0" t="inlineStr">
        <is>
          <t>MENS</t>
        </is>
      </c>
      <c r="H995" s="0" t="inlineStr">
        <is>
          <t>L</t>
        </is>
      </c>
      <c r="I995" s="0">
        <v>54.99</v>
      </c>
      <c r="J995" s="0">
        <v>0</v>
      </c>
    </row>
    <row r="996" spans="1:10" customHeight="0">
      <c r="A996" s="0">
        <f>HYPERLINK("https://dl.dropboxusercontent.com/scl/fi/xv4i5pg2jj1vok84q3s03/vrtl-ia-fleet-m-bk-v1-0299109.jpg?rlkey=n4tk0fobgoerdif3dh9ci1izi&amp;dl=0","Click to download Image")</f>
      </c>
      <c r="B996" s="0">
        <f>HYPERLINK("https://dl.dropboxusercontent.com/scl/fi/8iw3zaohw83ttg3pegqea/mens-polo-size-chartsfleet.jpg?rlkey=vswpw97ecdncmzqswqlvuv3w9&amp;dl=0","Click to download SizeChart")</f>
      </c>
      <c r="C996" s="0" t="inlineStr">
        <is>
          <t>Fleet Men's Polo - Small Only</t>
        </is>
      </c>
      <c r="D996" s="1">
        <v>153964</v>
      </c>
      <c r="E996" s="0" t="inlineStr">
        <is>
          <t>IOWA FLEET M BK:153964D-XL</t>
        </is>
      </c>
      <c r="F996" s="2">
        <v>800153964071</v>
      </c>
      <c r="G996" s="0" t="inlineStr">
        <is>
          <t>MENS</t>
        </is>
      </c>
      <c r="H996" s="0" t="inlineStr">
        <is>
          <t>XL</t>
        </is>
      </c>
      <c r="I996" s="0">
        <v>54.99</v>
      </c>
      <c r="J996" s="0">
        <v>2</v>
      </c>
    </row>
    <row r="997" spans="1:10" customHeight="0">
      <c r="A997" s="0">
        <f>HYPERLINK("https://dl.dropboxusercontent.com/scl/fi/xv4i5pg2jj1vok84q3s03/vrtl-ia-fleet-m-bk-v1-0299109.jpg?rlkey=n4tk0fobgoerdif3dh9ci1izi&amp;dl=0","Click to download Image")</f>
      </c>
      <c r="B997" s="0">
        <f>HYPERLINK("https://dl.dropboxusercontent.com/scl/fi/8iw3zaohw83ttg3pegqea/mens-polo-size-chartsfleet.jpg?rlkey=vswpw97ecdncmzqswqlvuv3w9&amp;dl=0","Click to download SizeChart")</f>
      </c>
      <c r="C997" s="0" t="inlineStr">
        <is>
          <t>Fleet Men's Polo - Small Only</t>
        </is>
      </c>
      <c r="D997" s="1">
        <v>153964</v>
      </c>
      <c r="E997" s="0" t="inlineStr">
        <is>
          <t>IOWA FLEET M BK:153964E-2XL</t>
        </is>
      </c>
      <c r="F997" s="2">
        <v>800153964088</v>
      </c>
      <c r="G997" s="0" t="inlineStr">
        <is>
          <t>MENS</t>
        </is>
      </c>
      <c r="H997" s="0" t="inlineStr">
        <is>
          <t>2XL</t>
        </is>
      </c>
      <c r="I997" s="0">
        <v>54.99</v>
      </c>
      <c r="J997" s="0">
        <v>0</v>
      </c>
    </row>
    <row r="998" spans="1:10" customHeight="0">
      <c r="A998" s="0">
        <f>HYPERLINK("https://dl.dropboxusercontent.com/scl/fi/xv4i5pg2jj1vok84q3s03/vrtl-ia-fleet-m-bk-v1-0299109.jpg?rlkey=n4tk0fobgoerdif3dh9ci1izi&amp;dl=0","Click to download Image")</f>
      </c>
      <c r="B998" s="0">
        <f>HYPERLINK("https://dl.dropboxusercontent.com/scl/fi/8iw3zaohw83ttg3pegqea/mens-polo-size-chartsfleet.jpg?rlkey=vswpw97ecdncmzqswqlvuv3w9&amp;dl=0","Click to download SizeChart")</f>
      </c>
      <c r="C998" s="0" t="inlineStr">
        <is>
          <t>Fleet Men's Polo - Small Only</t>
        </is>
      </c>
      <c r="D998" s="1">
        <v>153964</v>
      </c>
      <c r="E998" s="0" t="inlineStr">
        <is>
          <t>IOWA FLEET M BK:153964F-3XL</t>
        </is>
      </c>
      <c r="F998" s="2">
        <v>800153964095</v>
      </c>
      <c r="G998" s="0" t="inlineStr">
        <is>
          <t>MENS</t>
        </is>
      </c>
      <c r="H998" s="0" t="inlineStr">
        <is>
          <t>3XL</t>
        </is>
      </c>
      <c r="I998" s="0">
        <v>54.99</v>
      </c>
      <c r="J998" s="0">
        <v>0</v>
      </c>
    </row>
    <row r="999" spans="1:10" customHeight="0">
      <c r="A999" s="0">
        <f>HYPERLINK("https://dl.dropboxusercontent.com/scl/fi/2dvjuj816kbqt40yfj2jx/alan-153577-f.jpg?rlkey=1kgcytatt3pnetq4h7kvmtfax&amp;dl=0","Click to download Image")</f>
      </c>
      <c r="B999" s="0">
        <f>HYPERLINK("https://dl.dropboxusercontent.com/scl/fi/6qol7vb5etcu5spzsgvqu/mens-hoodie-size-chartsalan-hoodie.jpg?rlkey=ne3rynigh0mhlfsykj4lp87lc&amp;dl=0","Click to download SizeChart")</f>
      </c>
      <c r="C999" s="0" t="inlineStr">
        <is>
          <t>Alan Men's Hoodie</t>
        </is>
      </c>
      <c r="D999" s="1">
        <v>153577</v>
      </c>
      <c r="E999" s="0" t="inlineStr">
        <is>
          <t>IOWA ALAN M OE:153577A-S</t>
        </is>
      </c>
      <c r="F999" s="2">
        <v>800153577042</v>
      </c>
      <c r="G999" s="0" t="inlineStr">
        <is>
          <t>MENS</t>
        </is>
      </c>
      <c r="H999" s="0" t="inlineStr">
        <is>
          <t>S</t>
        </is>
      </c>
      <c r="I999" s="0">
        <v>39.99</v>
      </c>
      <c r="J999" s="0">
        <v>4</v>
      </c>
    </row>
    <row r="1000" spans="1:10" customHeight="0">
      <c r="A1000" s="0">
        <f>HYPERLINK("https://dl.dropboxusercontent.com/scl/fi/2dvjuj816kbqt40yfj2jx/alan-153577-f.jpg?rlkey=1kgcytatt3pnetq4h7kvmtfax&amp;dl=0","Click to download Image")</f>
      </c>
      <c r="B1000" s="0">
        <f>HYPERLINK("https://dl.dropboxusercontent.com/scl/fi/6qol7vb5etcu5spzsgvqu/mens-hoodie-size-chartsalan-hoodie.jpg?rlkey=ne3rynigh0mhlfsykj4lp87lc&amp;dl=0","Click to download SizeChart")</f>
      </c>
      <c r="C1000" s="0" t="inlineStr">
        <is>
          <t>Alan Men's Hoodie</t>
        </is>
      </c>
      <c r="D1000" s="1">
        <v>153577</v>
      </c>
      <c r="E1000" s="0" t="inlineStr">
        <is>
          <t>IOWA ALAN M OE:153577B-M</t>
        </is>
      </c>
      <c r="F1000" s="2">
        <v>800153577059</v>
      </c>
      <c r="G1000" s="0" t="inlineStr">
        <is>
          <t>MENS</t>
        </is>
      </c>
      <c r="H1000" s="0" t="inlineStr">
        <is>
          <t>M</t>
        </is>
      </c>
      <c r="I1000" s="0">
        <v>39.99</v>
      </c>
      <c r="J1000" s="0">
        <v>0</v>
      </c>
    </row>
    <row r="1001" spans="1:10" customHeight="0">
      <c r="A1001" s="0">
        <f>HYPERLINK("https://dl.dropboxusercontent.com/scl/fi/2dvjuj816kbqt40yfj2jx/alan-153577-f.jpg?rlkey=1kgcytatt3pnetq4h7kvmtfax&amp;dl=0","Click to download Image")</f>
      </c>
      <c r="B1001" s="0">
        <f>HYPERLINK("https://dl.dropboxusercontent.com/scl/fi/6qol7vb5etcu5spzsgvqu/mens-hoodie-size-chartsalan-hoodie.jpg?rlkey=ne3rynigh0mhlfsykj4lp87lc&amp;dl=0","Click to download SizeChart")</f>
      </c>
      <c r="C1001" s="0" t="inlineStr">
        <is>
          <t>Alan Men's Hoodie</t>
        </is>
      </c>
      <c r="D1001" s="1">
        <v>153577</v>
      </c>
      <c r="E1001" s="0" t="inlineStr">
        <is>
          <t>IOWA ALAN M OE:153577C-L</t>
        </is>
      </c>
      <c r="F1001" s="2">
        <v>800153577066</v>
      </c>
      <c r="G1001" s="0" t="inlineStr">
        <is>
          <t>MENS</t>
        </is>
      </c>
      <c r="H1001" s="0" t="inlineStr">
        <is>
          <t>L</t>
        </is>
      </c>
      <c r="I1001" s="0">
        <v>39.99</v>
      </c>
      <c r="J1001" s="0">
        <v>0</v>
      </c>
    </row>
    <row r="1002" spans="1:10" customHeight="0">
      <c r="A1002" s="0">
        <f>HYPERLINK("https://dl.dropboxusercontent.com/scl/fi/2dvjuj816kbqt40yfj2jx/alan-153577-f.jpg?rlkey=1kgcytatt3pnetq4h7kvmtfax&amp;dl=0","Click to download Image")</f>
      </c>
      <c r="B1002" s="0">
        <f>HYPERLINK("https://dl.dropboxusercontent.com/scl/fi/6qol7vb5etcu5spzsgvqu/mens-hoodie-size-chartsalan-hoodie.jpg?rlkey=ne3rynigh0mhlfsykj4lp87lc&amp;dl=0","Click to download SizeChart")</f>
      </c>
      <c r="C1002" s="0" t="inlineStr">
        <is>
          <t>Alan Men's Hoodie</t>
        </is>
      </c>
      <c r="D1002" s="1">
        <v>153577</v>
      </c>
      <c r="E1002" s="0" t="inlineStr">
        <is>
          <t>IOWA ALAN M OE:153577D-XL</t>
        </is>
      </c>
      <c r="F1002" s="2">
        <v>800153577073</v>
      </c>
      <c r="G1002" s="0" t="inlineStr">
        <is>
          <t>MENS</t>
        </is>
      </c>
      <c r="H1002" s="0" t="inlineStr">
        <is>
          <t>XL</t>
        </is>
      </c>
      <c r="I1002" s="0">
        <v>39.99</v>
      </c>
      <c r="J1002" s="0">
        <v>0</v>
      </c>
    </row>
    <row r="1003" spans="1:10" customHeight="0">
      <c r="A1003" s="0">
        <f>HYPERLINK("https://dl.dropboxusercontent.com/scl/fi/2dvjuj816kbqt40yfj2jx/alan-153577-f.jpg?rlkey=1kgcytatt3pnetq4h7kvmtfax&amp;dl=0","Click to download Image")</f>
      </c>
      <c r="B1003" s="0">
        <f>HYPERLINK("https://dl.dropboxusercontent.com/scl/fi/6qol7vb5etcu5spzsgvqu/mens-hoodie-size-chartsalan-hoodie.jpg?rlkey=ne3rynigh0mhlfsykj4lp87lc&amp;dl=0","Click to download SizeChart")</f>
      </c>
      <c r="C1003" s="0" t="inlineStr">
        <is>
          <t>Alan Men's Hoodie</t>
        </is>
      </c>
      <c r="D1003" s="1">
        <v>153577</v>
      </c>
      <c r="E1003" s="0" t="inlineStr">
        <is>
          <t>IOWA ALAN M OE:153577E-2XL</t>
        </is>
      </c>
      <c r="F1003" s="2">
        <v>800153577080</v>
      </c>
      <c r="G1003" s="0" t="inlineStr">
        <is>
          <t>MENS</t>
        </is>
      </c>
      <c r="H1003" s="0" t="inlineStr">
        <is>
          <t>2XL</t>
        </is>
      </c>
      <c r="I1003" s="0">
        <v>39.99</v>
      </c>
      <c r="J1003" s="0">
        <v>0</v>
      </c>
    </row>
    <row r="1004" spans="1:10" customHeight="0">
      <c r="A1004" s="0">
        <f>HYPERLINK("https://dl.dropboxusercontent.com/scl/fi/2dvjuj816kbqt40yfj2jx/alan-153577-f.jpg?rlkey=1kgcytatt3pnetq4h7kvmtfax&amp;dl=0","Click to download Image")</f>
      </c>
      <c r="B1004" s="0">
        <f>HYPERLINK("https://dl.dropboxusercontent.com/scl/fi/6qol7vb5etcu5spzsgvqu/mens-hoodie-size-chartsalan-hoodie.jpg?rlkey=ne3rynigh0mhlfsykj4lp87lc&amp;dl=0","Click to download SizeChart")</f>
      </c>
      <c r="C1004" s="0" t="inlineStr">
        <is>
          <t>Alan Men's Hoodie</t>
        </is>
      </c>
      <c r="D1004" s="1">
        <v>153577</v>
      </c>
      <c r="E1004" s="0" t="inlineStr">
        <is>
          <t>IOWA ALAN M OE:153577F-3XL</t>
        </is>
      </c>
      <c r="F1004" s="2">
        <v>800153577097</v>
      </c>
      <c r="G1004" s="0" t="inlineStr">
        <is>
          <t>MENS</t>
        </is>
      </c>
      <c r="H1004" s="0" t="inlineStr">
        <is>
          <t>3XL</t>
        </is>
      </c>
      <c r="I1004" s="0">
        <v>39.99</v>
      </c>
      <c r="J1004" s="0">
        <v>0</v>
      </c>
    </row>
    <row r="1005" spans="1:10" customHeight="0">
      <c r="A1005" s="0">
        <f>HYPERLINK("https://dl.dropboxusercontent.com/scl/fi/j07ldslg4fo10d2uy659m/alan-139565-t.jpg?rlkey=rp9nnesb5uj9rl3plbvj788kf&amp;dl=0","Click to download Image")</f>
      </c>
      <c r="B1005" s="0">
        <f>HYPERLINK("https://dl.dropboxusercontent.com/scl/fi/b5jc0h4mur7uyqrbq778j/mens-hoodie-size-chartsalan-hoodie.jpg?rlkey=k8rtob14d1rmpd2ltui8afxav&amp;dl=0","Click to download SizeChart")</f>
      </c>
      <c r="C1005" s="0" t="inlineStr">
        <is>
          <t>Alan Men's Hoodie</t>
        </is>
      </c>
      <c r="D1005" s="1">
        <v>139565</v>
      </c>
      <c r="E1005" s="0" t="inlineStr">
        <is>
          <t>IOWA ALAN M BK:139565A-S</t>
        </is>
      </c>
      <c r="F1005" s="2">
        <v>800139565049</v>
      </c>
      <c r="G1005" s="0" t="inlineStr">
        <is>
          <t>MENS</t>
        </is>
      </c>
      <c r="H1005" s="0" t="inlineStr">
        <is>
          <t>S</t>
        </is>
      </c>
      <c r="I1005" s="0">
        <v>39.99</v>
      </c>
      <c r="J1005" s="0">
        <v>1</v>
      </c>
    </row>
    <row r="1006" spans="1:10" customHeight="0">
      <c r="A1006" s="0">
        <f>HYPERLINK("https://dl.dropboxusercontent.com/scl/fi/j07ldslg4fo10d2uy659m/alan-139565-t.jpg?rlkey=rp9nnesb5uj9rl3plbvj788kf&amp;dl=0","Click to download Image")</f>
      </c>
      <c r="B1006" s="0">
        <f>HYPERLINK("https://dl.dropboxusercontent.com/scl/fi/b5jc0h4mur7uyqrbq778j/mens-hoodie-size-chartsalan-hoodie.jpg?rlkey=k8rtob14d1rmpd2ltui8afxav&amp;dl=0","Click to download SizeChart")</f>
      </c>
      <c r="C1006" s="0" t="inlineStr">
        <is>
          <t>Alan Men's Hoodie</t>
        </is>
      </c>
      <c r="D1006" s="1">
        <v>139565</v>
      </c>
      <c r="E1006" s="0" t="inlineStr">
        <is>
          <t>IOWA ALAN M BK:139565B-M</t>
        </is>
      </c>
      <c r="F1006" s="2">
        <v>800139565056</v>
      </c>
      <c r="G1006" s="0" t="inlineStr">
        <is>
          <t>MENS</t>
        </is>
      </c>
      <c r="H1006" s="0" t="inlineStr">
        <is>
          <t>M</t>
        </is>
      </c>
      <c r="I1006" s="0">
        <v>39.99</v>
      </c>
      <c r="J1006" s="0">
        <v>34</v>
      </c>
    </row>
    <row r="1007" spans="1:10" customHeight="0">
      <c r="A1007" s="0">
        <f>HYPERLINK("https://dl.dropboxusercontent.com/scl/fi/j07ldslg4fo10d2uy659m/alan-139565-t.jpg?rlkey=rp9nnesb5uj9rl3plbvj788kf&amp;dl=0","Click to download Image")</f>
      </c>
      <c r="B1007" s="0">
        <f>HYPERLINK("https://dl.dropboxusercontent.com/scl/fi/b5jc0h4mur7uyqrbq778j/mens-hoodie-size-chartsalan-hoodie.jpg?rlkey=k8rtob14d1rmpd2ltui8afxav&amp;dl=0","Click to download SizeChart")</f>
      </c>
      <c r="C1007" s="0" t="inlineStr">
        <is>
          <t>Alan Men's Hoodie</t>
        </is>
      </c>
      <c r="D1007" s="1">
        <v>139565</v>
      </c>
      <c r="E1007" s="0" t="inlineStr">
        <is>
          <t>IOWA ALAN M BK:139565C-L</t>
        </is>
      </c>
      <c r="F1007" s="2">
        <v>800139565063</v>
      </c>
      <c r="G1007" s="0" t="inlineStr">
        <is>
          <t>MENS</t>
        </is>
      </c>
      <c r="H1007" s="0" t="inlineStr">
        <is>
          <t>L</t>
        </is>
      </c>
      <c r="I1007" s="0">
        <v>39.99</v>
      </c>
      <c r="J1007" s="0">
        <v>44</v>
      </c>
    </row>
    <row r="1008" spans="1:10" customHeight="0">
      <c r="A1008" s="0">
        <f>HYPERLINK("https://dl.dropboxusercontent.com/scl/fi/j07ldslg4fo10d2uy659m/alan-139565-t.jpg?rlkey=rp9nnesb5uj9rl3plbvj788kf&amp;dl=0","Click to download Image")</f>
      </c>
      <c r="B1008" s="0">
        <f>HYPERLINK("https://dl.dropboxusercontent.com/scl/fi/b5jc0h4mur7uyqrbq778j/mens-hoodie-size-chartsalan-hoodie.jpg?rlkey=k8rtob14d1rmpd2ltui8afxav&amp;dl=0","Click to download SizeChart")</f>
      </c>
      <c r="C1008" s="0" t="inlineStr">
        <is>
          <t>Alan Men's Hoodie</t>
        </is>
      </c>
      <c r="D1008" s="1">
        <v>139565</v>
      </c>
      <c r="E1008" s="0" t="inlineStr">
        <is>
          <t>IOWA ALAN M BK:139565D-XL</t>
        </is>
      </c>
      <c r="F1008" s="2">
        <v>800139565070</v>
      </c>
      <c r="G1008" s="0" t="inlineStr">
        <is>
          <t>MENS</t>
        </is>
      </c>
      <c r="H1008" s="0" t="inlineStr">
        <is>
          <t>XL</t>
        </is>
      </c>
      <c r="I1008" s="0">
        <v>39.99</v>
      </c>
      <c r="J1008" s="0">
        <v>26</v>
      </c>
    </row>
    <row r="1009" spans="1:10" customHeight="0">
      <c r="A1009" s="0">
        <f>HYPERLINK("https://dl.dropboxusercontent.com/scl/fi/j07ldslg4fo10d2uy659m/alan-139565-t.jpg?rlkey=rp9nnesb5uj9rl3plbvj788kf&amp;dl=0","Click to download Image")</f>
      </c>
      <c r="B1009" s="0">
        <f>HYPERLINK("https://dl.dropboxusercontent.com/scl/fi/b5jc0h4mur7uyqrbq778j/mens-hoodie-size-chartsalan-hoodie.jpg?rlkey=k8rtob14d1rmpd2ltui8afxav&amp;dl=0","Click to download SizeChart")</f>
      </c>
      <c r="C1009" s="0" t="inlineStr">
        <is>
          <t>Alan Men's Hoodie</t>
        </is>
      </c>
      <c r="D1009" s="1">
        <v>139565</v>
      </c>
      <c r="E1009" s="0" t="inlineStr">
        <is>
          <t>IOWA ALAN M BK:139565E-2XL</t>
        </is>
      </c>
      <c r="F1009" s="2">
        <v>800139565087</v>
      </c>
      <c r="G1009" s="0" t="inlineStr">
        <is>
          <t>MENS</t>
        </is>
      </c>
      <c r="H1009" s="0" t="inlineStr">
        <is>
          <t>2XL</t>
        </is>
      </c>
      <c r="I1009" s="0">
        <v>39.99</v>
      </c>
      <c r="J1009" s="0">
        <v>31</v>
      </c>
    </row>
    <row r="1010" spans="1:10" customHeight="0">
      <c r="A1010" s="0">
        <f>HYPERLINK("https://dl.dropboxusercontent.com/scl/fi/j07ldslg4fo10d2uy659m/alan-139565-t.jpg?rlkey=rp9nnesb5uj9rl3plbvj788kf&amp;dl=0","Click to download Image")</f>
      </c>
      <c r="B1010" s="0">
        <f>HYPERLINK("https://dl.dropboxusercontent.com/scl/fi/b5jc0h4mur7uyqrbq778j/mens-hoodie-size-chartsalan-hoodie.jpg?rlkey=k8rtob14d1rmpd2ltui8afxav&amp;dl=0","Click to download SizeChart")</f>
      </c>
      <c r="C1010" s="0" t="inlineStr">
        <is>
          <t>Alan Men's Hoodie</t>
        </is>
      </c>
      <c r="D1010" s="1">
        <v>139565</v>
      </c>
      <c r="E1010" s="0" t="inlineStr">
        <is>
          <t>IOWA ALAN M BK:139565F-3XL</t>
        </is>
      </c>
      <c r="F1010" s="2">
        <v>800139565094</v>
      </c>
      <c r="G1010" s="0" t="inlineStr">
        <is>
          <t>MENS</t>
        </is>
      </c>
      <c r="H1010" s="0" t="inlineStr">
        <is>
          <t>3XL</t>
        </is>
      </c>
      <c r="I1010" s="0">
        <v>39.99</v>
      </c>
      <c r="J1010" s="0">
        <v>0</v>
      </c>
    </row>
    <row r="1011" spans="1:10" customHeight="0">
      <c r="A1011" s="0">
        <f>HYPERLINK("https://dl.dropboxusercontent.com/scl/fi/07scgq8w14fmrgz5ka9qn/alan-139643-t.jpg?rlkey=zfxbjgm3zvawsehg6fp4wsse4&amp;dl=0","Click to download Image")</f>
      </c>
      <c r="B1011" s="0">
        <f>HYPERLINK("https://dl.dropboxusercontent.com/scl/fi/b5jc0h4mur7uyqrbq778j/mens-hoodie-size-chartsalan-hoodie.jpg?rlkey=k8rtob14d1rmpd2ltui8afxav&amp;dl=0","Click to download SizeChart")</f>
      </c>
      <c r="C1011" s="0" t="inlineStr">
        <is>
          <t>Alan Men's Hoodie</t>
        </is>
      </c>
      <c r="D1011" s="1">
        <v>139643</v>
      </c>
      <c r="E1011" s="0" t="inlineStr">
        <is>
          <t>IOWA ALAN M BK:139643A-S</t>
        </is>
      </c>
      <c r="F1011" s="2">
        <v>800139643044</v>
      </c>
      <c r="G1011" s="0" t="inlineStr">
        <is>
          <t>MENS</t>
        </is>
      </c>
      <c r="H1011" s="0" t="inlineStr">
        <is>
          <t>S</t>
        </is>
      </c>
      <c r="I1011" s="0">
        <v>39.99</v>
      </c>
      <c r="J1011" s="0">
        <v>1</v>
      </c>
    </row>
    <row r="1012" spans="1:10" customHeight="0">
      <c r="A1012" s="0">
        <f>HYPERLINK("https://dl.dropboxusercontent.com/scl/fi/07scgq8w14fmrgz5ka9qn/alan-139643-t.jpg?rlkey=zfxbjgm3zvawsehg6fp4wsse4&amp;dl=0","Click to download Image")</f>
      </c>
      <c r="B1012" s="0">
        <f>HYPERLINK("https://dl.dropboxusercontent.com/scl/fi/b5jc0h4mur7uyqrbq778j/mens-hoodie-size-chartsalan-hoodie.jpg?rlkey=k8rtob14d1rmpd2ltui8afxav&amp;dl=0","Click to download SizeChart")</f>
      </c>
      <c r="C1012" s="0" t="inlineStr">
        <is>
          <t>Alan Men's Hoodie</t>
        </is>
      </c>
      <c r="D1012" s="1">
        <v>139643</v>
      </c>
      <c r="E1012" s="0" t="inlineStr">
        <is>
          <t>IOWA ALAN M BK:139643B-M</t>
        </is>
      </c>
      <c r="F1012" s="2">
        <v>800139643051</v>
      </c>
      <c r="G1012" s="0" t="inlineStr">
        <is>
          <t>MENS</t>
        </is>
      </c>
      <c r="H1012" s="0" t="inlineStr">
        <is>
          <t>M</t>
        </is>
      </c>
      <c r="I1012" s="0">
        <v>39.99</v>
      </c>
      <c r="J1012" s="0">
        <v>11</v>
      </c>
    </row>
    <row r="1013" spans="1:10" customHeight="0">
      <c r="A1013" s="0">
        <f>HYPERLINK("https://dl.dropboxusercontent.com/scl/fi/07scgq8w14fmrgz5ka9qn/alan-139643-t.jpg?rlkey=zfxbjgm3zvawsehg6fp4wsse4&amp;dl=0","Click to download Image")</f>
      </c>
      <c r="B1013" s="0">
        <f>HYPERLINK("https://dl.dropboxusercontent.com/scl/fi/b5jc0h4mur7uyqrbq778j/mens-hoodie-size-chartsalan-hoodie.jpg?rlkey=k8rtob14d1rmpd2ltui8afxav&amp;dl=0","Click to download SizeChart")</f>
      </c>
      <c r="C1013" s="0" t="inlineStr">
        <is>
          <t>Alan Men's Hoodie</t>
        </is>
      </c>
      <c r="D1013" s="1">
        <v>139643</v>
      </c>
      <c r="E1013" s="0" t="inlineStr">
        <is>
          <t>IOWA ALAN M BK:139643C-L</t>
        </is>
      </c>
      <c r="F1013" s="2">
        <v>800139643068</v>
      </c>
      <c r="G1013" s="0" t="inlineStr">
        <is>
          <t>MENS</t>
        </is>
      </c>
      <c r="H1013" s="0" t="inlineStr">
        <is>
          <t>L</t>
        </is>
      </c>
      <c r="I1013" s="0">
        <v>39.99</v>
      </c>
      <c r="J1013" s="0">
        <v>0</v>
      </c>
    </row>
    <row r="1014" spans="1:10" customHeight="0">
      <c r="A1014" s="0">
        <f>HYPERLINK("https://dl.dropboxusercontent.com/scl/fi/07scgq8w14fmrgz5ka9qn/alan-139643-t.jpg?rlkey=zfxbjgm3zvawsehg6fp4wsse4&amp;dl=0","Click to download Image")</f>
      </c>
      <c r="B1014" s="0">
        <f>HYPERLINK("https://dl.dropboxusercontent.com/scl/fi/b5jc0h4mur7uyqrbq778j/mens-hoodie-size-chartsalan-hoodie.jpg?rlkey=k8rtob14d1rmpd2ltui8afxav&amp;dl=0","Click to download SizeChart")</f>
      </c>
      <c r="C1014" s="0" t="inlineStr">
        <is>
          <t>Alan Men's Hoodie</t>
        </is>
      </c>
      <c r="D1014" s="1">
        <v>139643</v>
      </c>
      <c r="E1014" s="0" t="inlineStr">
        <is>
          <t>IOWA ALAN M BK:139643D-XL</t>
        </is>
      </c>
      <c r="F1014" s="2">
        <v>800139643075</v>
      </c>
      <c r="G1014" s="0" t="inlineStr">
        <is>
          <t>MENS</t>
        </is>
      </c>
      <c r="H1014" s="0" t="inlineStr">
        <is>
          <t>XL</t>
        </is>
      </c>
      <c r="I1014" s="0">
        <v>39.99</v>
      </c>
      <c r="J1014" s="0">
        <v>0</v>
      </c>
    </row>
    <row r="1015" spans="1:10" customHeight="0">
      <c r="A1015" s="0">
        <f>HYPERLINK("https://dl.dropboxusercontent.com/scl/fi/07scgq8w14fmrgz5ka9qn/alan-139643-t.jpg?rlkey=zfxbjgm3zvawsehg6fp4wsse4&amp;dl=0","Click to download Image")</f>
      </c>
      <c r="B1015" s="0">
        <f>HYPERLINK("https://dl.dropboxusercontent.com/scl/fi/b5jc0h4mur7uyqrbq778j/mens-hoodie-size-chartsalan-hoodie.jpg?rlkey=k8rtob14d1rmpd2ltui8afxav&amp;dl=0","Click to download SizeChart")</f>
      </c>
      <c r="C1015" s="0" t="inlineStr">
        <is>
          <t>Alan Men's Hoodie</t>
        </is>
      </c>
      <c r="D1015" s="1">
        <v>139643</v>
      </c>
      <c r="E1015" s="0" t="inlineStr">
        <is>
          <t>IOWA ALAN M BK:139643E-2XL</t>
        </is>
      </c>
      <c r="F1015" s="2">
        <v>800139643082</v>
      </c>
      <c r="G1015" s="0" t="inlineStr">
        <is>
          <t>MENS</t>
        </is>
      </c>
      <c r="H1015" s="0" t="inlineStr">
        <is>
          <t>2XL</t>
        </is>
      </c>
      <c r="I1015" s="0">
        <v>39.99</v>
      </c>
      <c r="J1015" s="0">
        <v>9</v>
      </c>
    </row>
    <row r="1016" spans="1:10" customHeight="0">
      <c r="A1016" s="0">
        <f>HYPERLINK("https://dl.dropboxusercontent.com/scl/fi/07scgq8w14fmrgz5ka9qn/alan-139643-t.jpg?rlkey=zfxbjgm3zvawsehg6fp4wsse4&amp;dl=0","Click to download Image")</f>
      </c>
      <c r="B1016" s="0">
        <f>HYPERLINK("https://dl.dropboxusercontent.com/scl/fi/b5jc0h4mur7uyqrbq778j/mens-hoodie-size-chartsalan-hoodie.jpg?rlkey=k8rtob14d1rmpd2ltui8afxav&amp;dl=0","Click to download SizeChart")</f>
      </c>
      <c r="C1016" s="0" t="inlineStr">
        <is>
          <t>Alan Men's Hoodie</t>
        </is>
      </c>
      <c r="D1016" s="1">
        <v>139643</v>
      </c>
      <c r="E1016" s="0" t="inlineStr">
        <is>
          <t>IOWA ALAN M BK:139643F-3XL</t>
        </is>
      </c>
      <c r="F1016" s="2">
        <v>800139643099</v>
      </c>
      <c r="G1016" s="0" t="inlineStr">
        <is>
          <t>MENS</t>
        </is>
      </c>
      <c r="H1016" s="0" t="inlineStr">
        <is>
          <t>3XL</t>
        </is>
      </c>
      <c r="I1016" s="0">
        <v>39.99</v>
      </c>
      <c r="J1016" s="0">
        <v>15</v>
      </c>
    </row>
    <row r="1017" spans="1:10" customHeight="0">
      <c r="A1017" s="0">
        <f>HYPERLINK("https://dl.dropboxusercontent.com/scl/fi/na8g9ujhhkivussutnjw8/zach-139496-f.jpg?rlkey=w73zk1m1jk760z52cagyl9jx5&amp;dl=0","Click to download Image")</f>
      </c>
      <c r="B1017" s="0">
        <f>HYPERLINK("https://dl.dropboxusercontent.com/scl/fi/r820xwsfsha17bufdqa39/graphic-update2022-mens.jpg?rlkey=zm1csada0fuwvykvd9qoovkni&amp;dl=0","Click to download SizeChart")</f>
      </c>
      <c r="C1017" s="0" t="inlineStr">
        <is>
          <t>Zach Men's Hoodie</t>
        </is>
      </c>
      <c r="D1017" s="1">
        <v>138382</v>
      </c>
      <c r="E1017" s="0" t="inlineStr">
        <is>
          <t>IOWA ZACH M OE:138382A-S</t>
        </is>
      </c>
      <c r="F1017" s="2">
        <v>800138382043</v>
      </c>
      <c r="G1017" s="0" t="inlineStr">
        <is>
          <t>MENS</t>
        </is>
      </c>
      <c r="H1017" s="0" t="inlineStr">
        <is>
          <t>S</t>
        </is>
      </c>
      <c r="I1017" s="0">
        <v>39.99</v>
      </c>
      <c r="J1017" s="0">
        <v>1</v>
      </c>
    </row>
    <row r="1018" spans="1:10" customHeight="0">
      <c r="A1018" s="0">
        <f>HYPERLINK("https://dl.dropboxusercontent.com/scl/fi/na8g9ujhhkivussutnjw8/zach-139496-f.jpg?rlkey=w73zk1m1jk760z52cagyl9jx5&amp;dl=0","Click to download Image")</f>
      </c>
      <c r="B1018" s="0">
        <f>HYPERLINK("https://dl.dropboxusercontent.com/scl/fi/r820xwsfsha17bufdqa39/graphic-update2022-mens.jpg?rlkey=zm1csada0fuwvykvd9qoovkni&amp;dl=0","Click to download SizeChart")</f>
      </c>
      <c r="C1018" s="0" t="inlineStr">
        <is>
          <t>Zach Men's Hoodie</t>
        </is>
      </c>
      <c r="D1018" s="1">
        <v>138382</v>
      </c>
      <c r="E1018" s="0" t="inlineStr">
        <is>
          <t>IOWA ZACH M OE:138382B-M</t>
        </is>
      </c>
      <c r="F1018" s="2">
        <v>800138382050</v>
      </c>
      <c r="G1018" s="0" t="inlineStr">
        <is>
          <t>MENS</t>
        </is>
      </c>
      <c r="H1018" s="0" t="inlineStr">
        <is>
          <t>M</t>
        </is>
      </c>
      <c r="I1018" s="0">
        <v>39.99</v>
      </c>
      <c r="J1018" s="0">
        <v>0</v>
      </c>
    </row>
    <row r="1019" spans="1:10" customHeight="0">
      <c r="A1019" s="0">
        <f>HYPERLINK("https://dl.dropboxusercontent.com/scl/fi/na8g9ujhhkivussutnjw8/zach-139496-f.jpg?rlkey=w73zk1m1jk760z52cagyl9jx5&amp;dl=0","Click to download Image")</f>
      </c>
      <c r="B1019" s="0">
        <f>HYPERLINK("https://dl.dropboxusercontent.com/scl/fi/r820xwsfsha17bufdqa39/graphic-update2022-mens.jpg?rlkey=zm1csada0fuwvykvd9qoovkni&amp;dl=0","Click to download SizeChart")</f>
      </c>
      <c r="C1019" s="0" t="inlineStr">
        <is>
          <t>Zach Men's Hoodie</t>
        </is>
      </c>
      <c r="D1019" s="1">
        <v>138382</v>
      </c>
      <c r="E1019" s="0" t="inlineStr">
        <is>
          <t>IOWA ZACH M OE:138382C-L</t>
        </is>
      </c>
      <c r="F1019" s="2">
        <v>800138382067</v>
      </c>
      <c r="G1019" s="0" t="inlineStr">
        <is>
          <t>MENS</t>
        </is>
      </c>
      <c r="H1019" s="0" t="inlineStr">
        <is>
          <t>L</t>
        </is>
      </c>
      <c r="I1019" s="0">
        <v>39.99</v>
      </c>
      <c r="J1019" s="0">
        <v>0</v>
      </c>
    </row>
    <row r="1020" spans="1:10" customHeight="0">
      <c r="A1020" s="0">
        <f>HYPERLINK("https://dl.dropboxusercontent.com/scl/fi/na8g9ujhhkivussutnjw8/zach-139496-f.jpg?rlkey=w73zk1m1jk760z52cagyl9jx5&amp;dl=0","Click to download Image")</f>
      </c>
      <c r="B1020" s="0">
        <f>HYPERLINK("https://dl.dropboxusercontent.com/scl/fi/r820xwsfsha17bufdqa39/graphic-update2022-mens.jpg?rlkey=zm1csada0fuwvykvd9qoovkni&amp;dl=0","Click to download SizeChart")</f>
      </c>
      <c r="C1020" s="0" t="inlineStr">
        <is>
          <t>Zach Men's Hoodie</t>
        </is>
      </c>
      <c r="D1020" s="1">
        <v>138382</v>
      </c>
      <c r="E1020" s="0" t="inlineStr">
        <is>
          <t>IOWA ZACH M OE:138382D-XL</t>
        </is>
      </c>
      <c r="F1020" s="2">
        <v>800138382074</v>
      </c>
      <c r="G1020" s="0" t="inlineStr">
        <is>
          <t>MENS</t>
        </is>
      </c>
      <c r="H1020" s="0" t="inlineStr">
        <is>
          <t>XL</t>
        </is>
      </c>
      <c r="I1020" s="0">
        <v>39.99</v>
      </c>
      <c r="J1020" s="0">
        <v>0</v>
      </c>
    </row>
    <row r="1021" spans="1:10" customHeight="0">
      <c r="A1021" s="0">
        <f>HYPERLINK("https://dl.dropboxusercontent.com/scl/fi/na8g9ujhhkivussutnjw8/zach-139496-f.jpg?rlkey=w73zk1m1jk760z52cagyl9jx5&amp;dl=0","Click to download Image")</f>
      </c>
      <c r="B1021" s="0">
        <f>HYPERLINK("https://dl.dropboxusercontent.com/scl/fi/r820xwsfsha17bufdqa39/graphic-update2022-mens.jpg?rlkey=zm1csada0fuwvykvd9qoovkni&amp;dl=0","Click to download SizeChart")</f>
      </c>
      <c r="C1021" s="0" t="inlineStr">
        <is>
          <t>Zach Men's Hoodie</t>
        </is>
      </c>
      <c r="D1021" s="1">
        <v>138382</v>
      </c>
      <c r="E1021" s="0" t="inlineStr">
        <is>
          <t>IOWA ZACH M OE:138382E-2XL</t>
        </is>
      </c>
      <c r="F1021" s="2">
        <v>800138382081</v>
      </c>
      <c r="G1021" s="0" t="inlineStr">
        <is>
          <t>MENS</t>
        </is>
      </c>
      <c r="H1021" s="0" t="inlineStr">
        <is>
          <t>2XL</t>
        </is>
      </c>
      <c r="I1021" s="0">
        <v>41.99</v>
      </c>
      <c r="J1021" s="0">
        <v>0</v>
      </c>
    </row>
    <row r="1022" spans="1:10" customHeight="0">
      <c r="A1022" s="0">
        <f>HYPERLINK("https://dl.dropboxusercontent.com/scl/fi/na8g9ujhhkivussutnjw8/zach-139496-f.jpg?rlkey=w73zk1m1jk760z52cagyl9jx5&amp;dl=0","Click to download Image")</f>
      </c>
      <c r="B1022" s="0">
        <f>HYPERLINK("https://dl.dropboxusercontent.com/scl/fi/r820xwsfsha17bufdqa39/graphic-update2022-mens.jpg?rlkey=zm1csada0fuwvykvd9qoovkni&amp;dl=0","Click to download SizeChart")</f>
      </c>
      <c r="C1022" s="0" t="inlineStr">
        <is>
          <t>Zach Men's Hoodie</t>
        </is>
      </c>
      <c r="D1022" s="1">
        <v>138382</v>
      </c>
      <c r="E1022" s="0" t="inlineStr">
        <is>
          <t>IOWA ZACH M OE:138382F-3XL</t>
        </is>
      </c>
      <c r="F1022" s="2">
        <v>800138382098</v>
      </c>
      <c r="G1022" s="0" t="inlineStr">
        <is>
          <t>MENS</t>
        </is>
      </c>
      <c r="H1022" s="0" t="inlineStr">
        <is>
          <t>3XL</t>
        </is>
      </c>
      <c r="I1022" s="0">
        <v>41.99</v>
      </c>
      <c r="J1022" s="0">
        <v>0</v>
      </c>
    </row>
    <row r="1023" spans="1:10" customHeight="0">
      <c r="A1023" s="0">
        <f>HYPERLINK("https://dl.dropboxusercontent.com/scl/fi/7ampr0dmp9khhweglsuc4/rt-edge-138403-tn.jpg?rlkey=j02c5plt2dwnwndqy3le083sa&amp;dl=0","Click to download Image")</f>
      </c>
      <c r="B1023" s="0">
        <f>HYPERLINK("https://dl.dropboxusercontent.com/scl/fi/r820xwsfsha17bufdqa39/graphic-update2022-mens.jpg?rlkey=zm1csada0fuwvykvd9qoovkni&amp;dl=0","Click to download SizeChart")</f>
      </c>
      <c r="C1023" s="0" t="inlineStr">
        <is>
          <t>Zach Men's Hoodie</t>
        </is>
      </c>
      <c r="D1023" s="1">
        <v>138403</v>
      </c>
      <c r="E1023" s="0" t="inlineStr">
        <is>
          <t>IOWA ZACH M RE:138403A-S</t>
        </is>
      </c>
      <c r="F1023" s="2">
        <v>800138403045</v>
      </c>
      <c r="G1023" s="0" t="inlineStr">
        <is>
          <t>MENS</t>
        </is>
      </c>
      <c r="H1023" s="0" t="inlineStr">
        <is>
          <t>S</t>
        </is>
      </c>
      <c r="I1023" s="0">
        <v>39.99</v>
      </c>
      <c r="J1023" s="0">
        <v>17</v>
      </c>
    </row>
    <row r="1024" spans="1:10" customHeight="0">
      <c r="A1024" s="0">
        <f>HYPERLINK("https://dl.dropboxusercontent.com/scl/fi/7ampr0dmp9khhweglsuc4/rt-edge-138403-tn.jpg?rlkey=j02c5plt2dwnwndqy3le083sa&amp;dl=0","Click to download Image")</f>
      </c>
      <c r="B1024" s="0">
        <f>HYPERLINK("https://dl.dropboxusercontent.com/scl/fi/r820xwsfsha17bufdqa39/graphic-update2022-mens.jpg?rlkey=zm1csada0fuwvykvd9qoovkni&amp;dl=0","Click to download SizeChart")</f>
      </c>
      <c r="C1024" s="0" t="inlineStr">
        <is>
          <t>Zach Men's Hoodie</t>
        </is>
      </c>
      <c r="D1024" s="1">
        <v>138403</v>
      </c>
      <c r="E1024" s="0" t="inlineStr">
        <is>
          <t>IOWA ZACH M RE:138403B-M</t>
        </is>
      </c>
      <c r="F1024" s="2">
        <v>800138403052</v>
      </c>
      <c r="G1024" s="0" t="inlineStr">
        <is>
          <t>MENS</t>
        </is>
      </c>
      <c r="H1024" s="0" t="inlineStr">
        <is>
          <t>M</t>
        </is>
      </c>
      <c r="I1024" s="0">
        <v>39.99</v>
      </c>
      <c r="J1024" s="0">
        <v>29</v>
      </c>
    </row>
    <row r="1025" spans="1:10" customHeight="0">
      <c r="A1025" s="0">
        <f>HYPERLINK("https://dl.dropboxusercontent.com/scl/fi/7ampr0dmp9khhweglsuc4/rt-edge-138403-tn.jpg?rlkey=j02c5plt2dwnwndqy3le083sa&amp;dl=0","Click to download Image")</f>
      </c>
      <c r="B1025" s="0">
        <f>HYPERLINK("https://dl.dropboxusercontent.com/scl/fi/r820xwsfsha17bufdqa39/graphic-update2022-mens.jpg?rlkey=zm1csada0fuwvykvd9qoovkni&amp;dl=0","Click to download SizeChart")</f>
      </c>
      <c r="C1025" s="0" t="inlineStr">
        <is>
          <t>Zach Men's Hoodie</t>
        </is>
      </c>
      <c r="D1025" s="1">
        <v>138403</v>
      </c>
      <c r="E1025" s="0" t="inlineStr">
        <is>
          <t>IOWA ZACH M RE:138403C-L</t>
        </is>
      </c>
      <c r="F1025" s="2">
        <v>800138403069</v>
      </c>
      <c r="G1025" s="0" t="inlineStr">
        <is>
          <t>MENS</t>
        </is>
      </c>
      <c r="H1025" s="0" t="inlineStr">
        <is>
          <t>L</t>
        </is>
      </c>
      <c r="I1025" s="0">
        <v>39.99</v>
      </c>
      <c r="J1025" s="0">
        <v>43</v>
      </c>
    </row>
    <row r="1026" spans="1:10" customHeight="0">
      <c r="A1026" s="0">
        <f>HYPERLINK("https://dl.dropboxusercontent.com/scl/fi/7ampr0dmp9khhweglsuc4/rt-edge-138403-tn.jpg?rlkey=j02c5plt2dwnwndqy3le083sa&amp;dl=0","Click to download Image")</f>
      </c>
      <c r="B1026" s="0">
        <f>HYPERLINK("https://dl.dropboxusercontent.com/scl/fi/r820xwsfsha17bufdqa39/graphic-update2022-mens.jpg?rlkey=zm1csada0fuwvykvd9qoovkni&amp;dl=0","Click to download SizeChart")</f>
      </c>
      <c r="C1026" s="0" t="inlineStr">
        <is>
          <t>Zach Men's Hoodie</t>
        </is>
      </c>
      <c r="D1026" s="1">
        <v>138403</v>
      </c>
      <c r="E1026" s="0" t="inlineStr">
        <is>
          <t>IOWA ZACH M RE:138403D-XL</t>
        </is>
      </c>
      <c r="F1026" s="2">
        <v>800138403076</v>
      </c>
      <c r="G1026" s="0" t="inlineStr">
        <is>
          <t>MENS</t>
        </is>
      </c>
      <c r="H1026" s="0" t="inlineStr">
        <is>
          <t>XL</t>
        </is>
      </c>
      <c r="I1026" s="0">
        <v>39.99</v>
      </c>
      <c r="J1026" s="0">
        <v>37</v>
      </c>
    </row>
    <row r="1027" spans="1:10" customHeight="0">
      <c r="A1027" s="0">
        <f>HYPERLINK("https://dl.dropboxusercontent.com/scl/fi/7ampr0dmp9khhweglsuc4/rt-edge-138403-tn.jpg?rlkey=j02c5plt2dwnwndqy3le083sa&amp;dl=0","Click to download Image")</f>
      </c>
      <c r="B1027" s="0">
        <f>HYPERLINK("https://dl.dropboxusercontent.com/scl/fi/r820xwsfsha17bufdqa39/graphic-update2022-mens.jpg?rlkey=zm1csada0fuwvykvd9qoovkni&amp;dl=0","Click to download SizeChart")</f>
      </c>
      <c r="C1027" s="0" t="inlineStr">
        <is>
          <t>Zach Men's Hoodie</t>
        </is>
      </c>
      <c r="D1027" s="1">
        <v>138403</v>
      </c>
      <c r="E1027" s="0" t="inlineStr">
        <is>
          <t>IOWA ZACH M RE:138403E-2XL</t>
        </is>
      </c>
      <c r="F1027" s="2">
        <v>800138403083</v>
      </c>
      <c r="G1027" s="0" t="inlineStr">
        <is>
          <t>MENS</t>
        </is>
      </c>
      <c r="H1027" s="0" t="inlineStr">
        <is>
          <t>2XL</t>
        </is>
      </c>
      <c r="I1027" s="0">
        <v>41.99</v>
      </c>
      <c r="J1027" s="0">
        <v>28</v>
      </c>
    </row>
    <row r="1028" spans="1:10" customHeight="0">
      <c r="A1028" s="0">
        <f>HYPERLINK("https://dl.dropboxusercontent.com/scl/fi/7ampr0dmp9khhweglsuc4/rt-edge-138403-tn.jpg?rlkey=j02c5plt2dwnwndqy3le083sa&amp;dl=0","Click to download Image")</f>
      </c>
      <c r="B1028" s="0">
        <f>HYPERLINK("https://dl.dropboxusercontent.com/scl/fi/r820xwsfsha17bufdqa39/graphic-update2022-mens.jpg?rlkey=zm1csada0fuwvykvd9qoovkni&amp;dl=0","Click to download SizeChart")</f>
      </c>
      <c r="C1028" s="0" t="inlineStr">
        <is>
          <t>Zach Men's Hoodie</t>
        </is>
      </c>
      <c r="D1028" s="1">
        <v>138403</v>
      </c>
      <c r="E1028" s="0" t="inlineStr">
        <is>
          <t>IOWA ZACH M RE:138403F-3XL</t>
        </is>
      </c>
      <c r="F1028" s="2">
        <v>800138403090</v>
      </c>
      <c r="G1028" s="0" t="inlineStr">
        <is>
          <t>MENS</t>
        </is>
      </c>
      <c r="H1028" s="0" t="inlineStr">
        <is>
          <t>3XL</t>
        </is>
      </c>
      <c r="I1028" s="0">
        <v>41.99</v>
      </c>
      <c r="J1028" s="0">
        <v>13</v>
      </c>
    </row>
    <row r="1029" spans="1:10" customHeight="0">
      <c r="A1029" s="0">
        <f>HYPERLINK("https://dl.dropboxusercontent.com/scl/fi/37ufn5su0x5ez2kwj1dbr/rt-max-138407-tn.jpg?rlkey=mo9oz1dybo7cphu9xg5jo4idd&amp;dl=0","Click to download Image")</f>
      </c>
      <c r="B1029" s="0">
        <f>HYPERLINK("https://dl.dropboxusercontent.com/scl/fi/r820xwsfsha17bufdqa39/graphic-update2022-mens.jpg?rlkey=zm1csada0fuwvykvd9qoovkni&amp;dl=0","Click to download SizeChart")</f>
      </c>
      <c r="C1029" s="0" t="inlineStr">
        <is>
          <t>Zach Men's Hoodie</t>
        </is>
      </c>
      <c r="D1029" s="1">
        <v>138407</v>
      </c>
      <c r="E1029" s="0" t="inlineStr">
        <is>
          <t>IOWA ZACH M R5:138407A-S</t>
        </is>
      </c>
      <c r="F1029" s="2">
        <v>800138407043</v>
      </c>
      <c r="G1029" s="0" t="inlineStr">
        <is>
          <t>MENS</t>
        </is>
      </c>
      <c r="H1029" s="0" t="inlineStr">
        <is>
          <t>S</t>
        </is>
      </c>
      <c r="I1029" s="0">
        <v>39.99</v>
      </c>
      <c r="J1029" s="0">
        <v>25</v>
      </c>
    </row>
    <row r="1030" spans="1:10" customHeight="0">
      <c r="A1030" s="0">
        <f>HYPERLINK("https://dl.dropboxusercontent.com/scl/fi/37ufn5su0x5ez2kwj1dbr/rt-max-138407-tn.jpg?rlkey=mo9oz1dybo7cphu9xg5jo4idd&amp;dl=0","Click to download Image")</f>
      </c>
      <c r="B1030" s="0">
        <f>HYPERLINK("https://dl.dropboxusercontent.com/scl/fi/r820xwsfsha17bufdqa39/graphic-update2022-mens.jpg?rlkey=zm1csada0fuwvykvd9qoovkni&amp;dl=0","Click to download SizeChart")</f>
      </c>
      <c r="C1030" s="0" t="inlineStr">
        <is>
          <t>Zach Men's Hoodie</t>
        </is>
      </c>
      <c r="D1030" s="1">
        <v>138407</v>
      </c>
      <c r="E1030" s="0" t="inlineStr">
        <is>
          <t>IOWA ZACH M R5:138407B-M</t>
        </is>
      </c>
      <c r="F1030" s="2">
        <v>800138407050</v>
      </c>
      <c r="G1030" s="0" t="inlineStr">
        <is>
          <t>MENS</t>
        </is>
      </c>
      <c r="H1030" s="0" t="inlineStr">
        <is>
          <t>M</t>
        </is>
      </c>
      <c r="I1030" s="0">
        <v>39.99</v>
      </c>
      <c r="J1030" s="0">
        <v>48</v>
      </c>
    </row>
    <row r="1031" spans="1:10" customHeight="0">
      <c r="A1031" s="0">
        <f>HYPERLINK("https://dl.dropboxusercontent.com/scl/fi/37ufn5su0x5ez2kwj1dbr/rt-max-138407-tn.jpg?rlkey=mo9oz1dybo7cphu9xg5jo4idd&amp;dl=0","Click to download Image")</f>
      </c>
      <c r="B1031" s="0">
        <f>HYPERLINK("https://dl.dropboxusercontent.com/scl/fi/r820xwsfsha17bufdqa39/graphic-update2022-mens.jpg?rlkey=zm1csada0fuwvykvd9qoovkni&amp;dl=0","Click to download SizeChart")</f>
      </c>
      <c r="C1031" s="0" t="inlineStr">
        <is>
          <t>Zach Men's Hoodie</t>
        </is>
      </c>
      <c r="D1031" s="1">
        <v>138407</v>
      </c>
      <c r="E1031" s="0" t="inlineStr">
        <is>
          <t>IOWA ZACH M R5:138407C-L</t>
        </is>
      </c>
      <c r="F1031" s="2">
        <v>800138407067</v>
      </c>
      <c r="G1031" s="0" t="inlineStr">
        <is>
          <t>MENS</t>
        </is>
      </c>
      <c r="H1031" s="0" t="inlineStr">
        <is>
          <t>L</t>
        </is>
      </c>
      <c r="I1031" s="0">
        <v>39.99</v>
      </c>
      <c r="J1031" s="0">
        <v>74</v>
      </c>
    </row>
    <row r="1032" spans="1:10" customHeight="0">
      <c r="A1032" s="0">
        <f>HYPERLINK("https://dl.dropboxusercontent.com/scl/fi/37ufn5su0x5ez2kwj1dbr/rt-max-138407-tn.jpg?rlkey=mo9oz1dybo7cphu9xg5jo4idd&amp;dl=0","Click to download Image")</f>
      </c>
      <c r="B1032" s="0">
        <f>HYPERLINK("https://dl.dropboxusercontent.com/scl/fi/r820xwsfsha17bufdqa39/graphic-update2022-mens.jpg?rlkey=zm1csada0fuwvykvd9qoovkni&amp;dl=0","Click to download SizeChart")</f>
      </c>
      <c r="C1032" s="0" t="inlineStr">
        <is>
          <t>Zach Men's Hoodie</t>
        </is>
      </c>
      <c r="D1032" s="1">
        <v>138407</v>
      </c>
      <c r="E1032" s="0" t="inlineStr">
        <is>
          <t>IOWA ZACH M R5:138407D-XL</t>
        </is>
      </c>
      <c r="F1032" s="2">
        <v>800138407074</v>
      </c>
      <c r="G1032" s="0" t="inlineStr">
        <is>
          <t>MENS</t>
        </is>
      </c>
      <c r="H1032" s="0" t="inlineStr">
        <is>
          <t>XL</t>
        </is>
      </c>
      <c r="I1032" s="0">
        <v>39.99</v>
      </c>
      <c r="J1032" s="0">
        <v>68</v>
      </c>
    </row>
    <row r="1033" spans="1:10" customHeight="0">
      <c r="A1033" s="0">
        <f>HYPERLINK("https://dl.dropboxusercontent.com/scl/fi/37ufn5su0x5ez2kwj1dbr/rt-max-138407-tn.jpg?rlkey=mo9oz1dybo7cphu9xg5jo4idd&amp;dl=0","Click to download Image")</f>
      </c>
      <c r="B1033" s="0">
        <f>HYPERLINK("https://dl.dropboxusercontent.com/scl/fi/r820xwsfsha17bufdqa39/graphic-update2022-mens.jpg?rlkey=zm1csada0fuwvykvd9qoovkni&amp;dl=0","Click to download SizeChart")</f>
      </c>
      <c r="C1033" s="0" t="inlineStr">
        <is>
          <t>Zach Men's Hoodie</t>
        </is>
      </c>
      <c r="D1033" s="1">
        <v>138407</v>
      </c>
      <c r="E1033" s="0" t="inlineStr">
        <is>
          <t>IOWA ZACH M R5:138407E-2XL</t>
        </is>
      </c>
      <c r="F1033" s="2">
        <v>800138407081</v>
      </c>
      <c r="G1033" s="0" t="inlineStr">
        <is>
          <t>MENS</t>
        </is>
      </c>
      <c r="H1033" s="0" t="inlineStr">
        <is>
          <t>2XL</t>
        </is>
      </c>
      <c r="I1033" s="0">
        <v>41.99</v>
      </c>
      <c r="J1033" s="0">
        <v>49</v>
      </c>
    </row>
    <row r="1034" spans="1:10" customHeight="0">
      <c r="A1034" s="0">
        <f>HYPERLINK("https://dl.dropboxusercontent.com/scl/fi/37ufn5su0x5ez2kwj1dbr/rt-max-138407-tn.jpg?rlkey=mo9oz1dybo7cphu9xg5jo4idd&amp;dl=0","Click to download Image")</f>
      </c>
      <c r="B1034" s="0">
        <f>HYPERLINK("https://dl.dropboxusercontent.com/scl/fi/r820xwsfsha17bufdqa39/graphic-update2022-mens.jpg?rlkey=zm1csada0fuwvykvd9qoovkni&amp;dl=0","Click to download SizeChart")</f>
      </c>
      <c r="C1034" s="0" t="inlineStr">
        <is>
          <t>Zach Men's Hoodie</t>
        </is>
      </c>
      <c r="D1034" s="1">
        <v>138407</v>
      </c>
      <c r="E1034" s="0" t="inlineStr">
        <is>
          <t>IOWA ZACH M R5:138407F-3XL</t>
        </is>
      </c>
      <c r="F1034" s="2">
        <v>800138407098</v>
      </c>
      <c r="G1034" s="0" t="inlineStr">
        <is>
          <t>MENS</t>
        </is>
      </c>
      <c r="H1034" s="0" t="inlineStr">
        <is>
          <t>3XL</t>
        </is>
      </c>
      <c r="I1034" s="0">
        <v>41.99</v>
      </c>
      <c r="J1034" s="0">
        <v>24</v>
      </c>
    </row>
    <row r="1035" spans="1:10" customHeight="0">
      <c r="A1035" s="0">
        <f>HYPERLINK("https://dl.dropboxusercontent.com/scl/fi/d0xknhxedr6m0c89cr6qd/rt-xtra-138401-tn.jpg?rlkey=72c6e4o77opyxbwfcnhq3ywg7&amp;dl=0","Click to download Image")</f>
      </c>
      <c r="B1035" s="0">
        <f>HYPERLINK("https://dl.dropboxusercontent.com/scl/fi/r820xwsfsha17bufdqa39/graphic-update2022-mens.jpg?rlkey=zm1csada0fuwvykvd9qoovkni&amp;dl=0","Click to download SizeChart")</f>
      </c>
      <c r="C1035" s="0" t="inlineStr">
        <is>
          <t>Zach Men's Hoodie</t>
        </is>
      </c>
      <c r="D1035" s="1">
        <v>138401</v>
      </c>
      <c r="E1035" s="0" t="inlineStr">
        <is>
          <t>IOWA ZACH M RT:138401A-S</t>
        </is>
      </c>
      <c r="F1035" s="2">
        <v>800138401041</v>
      </c>
      <c r="G1035" s="0" t="inlineStr">
        <is>
          <t>MENS</t>
        </is>
      </c>
      <c r="H1035" s="0" t="inlineStr">
        <is>
          <t>S</t>
        </is>
      </c>
      <c r="I1035" s="0">
        <v>39.99</v>
      </c>
      <c r="J1035" s="0">
        <v>10</v>
      </c>
    </row>
    <row r="1036" spans="1:10" customHeight="0">
      <c r="A1036" s="0">
        <f>HYPERLINK("https://dl.dropboxusercontent.com/scl/fi/d0xknhxedr6m0c89cr6qd/rt-xtra-138401-tn.jpg?rlkey=72c6e4o77opyxbwfcnhq3ywg7&amp;dl=0","Click to download Image")</f>
      </c>
      <c r="B1036" s="0">
        <f>HYPERLINK("https://dl.dropboxusercontent.com/scl/fi/r820xwsfsha17bufdqa39/graphic-update2022-mens.jpg?rlkey=zm1csada0fuwvykvd9qoovkni&amp;dl=0","Click to download SizeChart")</f>
      </c>
      <c r="C1036" s="0" t="inlineStr">
        <is>
          <t>Zach Men's Hoodie</t>
        </is>
      </c>
      <c r="D1036" s="1">
        <v>138401</v>
      </c>
      <c r="E1036" s="0" t="inlineStr">
        <is>
          <t>IOWA ZACH M RT:138401B-M</t>
        </is>
      </c>
      <c r="F1036" s="2">
        <v>800138401058</v>
      </c>
      <c r="G1036" s="0" t="inlineStr">
        <is>
          <t>MENS</t>
        </is>
      </c>
      <c r="H1036" s="0" t="inlineStr">
        <is>
          <t>M</t>
        </is>
      </c>
      <c r="I1036" s="0">
        <v>39.99</v>
      </c>
      <c r="J1036" s="0">
        <v>18</v>
      </c>
    </row>
    <row r="1037" spans="1:10" customHeight="0">
      <c r="A1037" s="0">
        <f>HYPERLINK("https://dl.dropboxusercontent.com/scl/fi/d0xknhxedr6m0c89cr6qd/rt-xtra-138401-tn.jpg?rlkey=72c6e4o77opyxbwfcnhq3ywg7&amp;dl=0","Click to download Image")</f>
      </c>
      <c r="B1037" s="0">
        <f>HYPERLINK("https://dl.dropboxusercontent.com/scl/fi/r820xwsfsha17bufdqa39/graphic-update2022-mens.jpg?rlkey=zm1csada0fuwvykvd9qoovkni&amp;dl=0","Click to download SizeChart")</f>
      </c>
      <c r="C1037" s="0" t="inlineStr">
        <is>
          <t>Zach Men's Hoodie</t>
        </is>
      </c>
      <c r="D1037" s="1">
        <v>138401</v>
      </c>
      <c r="E1037" s="0" t="inlineStr">
        <is>
          <t>IOWA ZACH M RT:138401C-L</t>
        </is>
      </c>
      <c r="F1037" s="2">
        <v>800138401065</v>
      </c>
      <c r="G1037" s="0" t="inlineStr">
        <is>
          <t>MENS</t>
        </is>
      </c>
      <c r="H1037" s="0" t="inlineStr">
        <is>
          <t>L</t>
        </is>
      </c>
      <c r="I1037" s="0">
        <v>39.99</v>
      </c>
      <c r="J1037" s="0">
        <v>18</v>
      </c>
    </row>
    <row r="1038" spans="1:10" customHeight="0">
      <c r="A1038" s="0">
        <f>HYPERLINK("https://dl.dropboxusercontent.com/scl/fi/d0xknhxedr6m0c89cr6qd/rt-xtra-138401-tn.jpg?rlkey=72c6e4o77opyxbwfcnhq3ywg7&amp;dl=0","Click to download Image")</f>
      </c>
      <c r="B1038" s="0">
        <f>HYPERLINK("https://dl.dropboxusercontent.com/scl/fi/r820xwsfsha17bufdqa39/graphic-update2022-mens.jpg?rlkey=zm1csada0fuwvykvd9qoovkni&amp;dl=0","Click to download SizeChart")</f>
      </c>
      <c r="C1038" s="0" t="inlineStr">
        <is>
          <t>Zach Men's Hoodie</t>
        </is>
      </c>
      <c r="D1038" s="1">
        <v>138401</v>
      </c>
      <c r="E1038" s="0" t="inlineStr">
        <is>
          <t>IOWA ZACH M RT:138401D-XL</t>
        </is>
      </c>
      <c r="F1038" s="2">
        <v>800138401072</v>
      </c>
      <c r="G1038" s="0" t="inlineStr">
        <is>
          <t>MENS</t>
        </is>
      </c>
      <c r="H1038" s="0" t="inlineStr">
        <is>
          <t>XL</t>
        </is>
      </c>
      <c r="I1038" s="0">
        <v>39.99</v>
      </c>
      <c r="J1038" s="0">
        <v>16</v>
      </c>
    </row>
    <row r="1039" spans="1:10" customHeight="0">
      <c r="A1039" s="0">
        <f>HYPERLINK("https://dl.dropboxusercontent.com/scl/fi/d0xknhxedr6m0c89cr6qd/rt-xtra-138401-tn.jpg?rlkey=72c6e4o77opyxbwfcnhq3ywg7&amp;dl=0","Click to download Image")</f>
      </c>
      <c r="B1039" s="0">
        <f>HYPERLINK("https://dl.dropboxusercontent.com/scl/fi/r820xwsfsha17bufdqa39/graphic-update2022-mens.jpg?rlkey=zm1csada0fuwvykvd9qoovkni&amp;dl=0","Click to download SizeChart")</f>
      </c>
      <c r="C1039" s="0" t="inlineStr">
        <is>
          <t>Zach Men's Hoodie</t>
        </is>
      </c>
      <c r="D1039" s="1">
        <v>138401</v>
      </c>
      <c r="E1039" s="0" t="inlineStr">
        <is>
          <t>IOWA ZACH M RT:138401E-2XL</t>
        </is>
      </c>
      <c r="F1039" s="2">
        <v>800138401089</v>
      </c>
      <c r="G1039" s="0" t="inlineStr">
        <is>
          <t>MENS</t>
        </is>
      </c>
      <c r="H1039" s="0" t="inlineStr">
        <is>
          <t>2XL</t>
        </is>
      </c>
      <c r="I1039" s="0">
        <v>41.99</v>
      </c>
      <c r="J1039" s="0">
        <v>12</v>
      </c>
    </row>
    <row r="1040" spans="1:10" customHeight="0">
      <c r="A1040" s="0">
        <f>HYPERLINK("https://dl.dropboxusercontent.com/scl/fi/d0xknhxedr6m0c89cr6qd/rt-xtra-138401-tn.jpg?rlkey=72c6e4o77opyxbwfcnhq3ywg7&amp;dl=0","Click to download Image")</f>
      </c>
      <c r="B1040" s="0">
        <f>HYPERLINK("https://dl.dropboxusercontent.com/scl/fi/r820xwsfsha17bufdqa39/graphic-update2022-mens.jpg?rlkey=zm1csada0fuwvykvd9qoovkni&amp;dl=0","Click to download SizeChart")</f>
      </c>
      <c r="C1040" s="0" t="inlineStr">
        <is>
          <t>Zach Men's Hoodie</t>
        </is>
      </c>
      <c r="D1040" s="1">
        <v>138401</v>
      </c>
      <c r="E1040" s="0" t="inlineStr">
        <is>
          <t>IOWA ZACH M RT:138401F-3XL</t>
        </is>
      </c>
      <c r="F1040" s="2">
        <v>800138401096</v>
      </c>
      <c r="G1040" s="0" t="inlineStr">
        <is>
          <t>MENS</t>
        </is>
      </c>
      <c r="H1040" s="0" t="inlineStr">
        <is>
          <t>3XL</t>
        </is>
      </c>
      <c r="I1040" s="0">
        <v>41.99</v>
      </c>
      <c r="J1040" s="0">
        <v>8</v>
      </c>
    </row>
    <row r="1041" spans="1:10" customHeight="0">
      <c r="A1041" s="0">
        <f>HYPERLINK("https://dl.dropboxusercontent.com/scl/fi/oublt7cab0fg43imovdcj/cason-133626t.jpg?rlkey=0ohs491oy9ogtsd0jg1wn1abf&amp;dl=0","Click to download Image")</f>
      </c>
      <c r="B1041" s="0">
        <f>HYPERLINK("https://dl.dropboxusercontent.com/scl/fi/2g2ndlop9qxtba9m956yv/womens-t-shirt-size-chartscason-sara.jpg?rlkey=pdr9eqqsw8lmfg1zjpzf81l2v&amp;dl=0","Click to download SizeChart")</f>
      </c>
      <c r="C1041" s="0" t="inlineStr">
        <is>
          <t>Cason Women's Short Sleeve Shirt</t>
        </is>
      </c>
      <c r="D1041" s="1">
        <v>133626</v>
      </c>
      <c r="E1041" s="0" t="inlineStr">
        <is>
          <t>IOWA CASON W BK:133626A-S</t>
        </is>
      </c>
      <c r="F1041" s="2">
        <v>800133626043</v>
      </c>
      <c r="G1041" s="0" t="inlineStr">
        <is>
          <t>WOMENS</t>
        </is>
      </c>
      <c r="H1041" s="0" t="inlineStr">
        <is>
          <t>S</t>
        </is>
      </c>
      <c r="I1041" s="0">
        <v>29.99</v>
      </c>
      <c r="J1041" s="0">
        <v>2</v>
      </c>
    </row>
    <row r="1042" spans="1:10" customHeight="0">
      <c r="A1042" s="0">
        <f>HYPERLINK("https://dl.dropboxusercontent.com/scl/fi/oublt7cab0fg43imovdcj/cason-133626t.jpg?rlkey=0ohs491oy9ogtsd0jg1wn1abf&amp;dl=0","Click to download Image")</f>
      </c>
      <c r="B1042" s="0">
        <f>HYPERLINK("https://dl.dropboxusercontent.com/scl/fi/2g2ndlop9qxtba9m956yv/womens-t-shirt-size-chartscason-sara.jpg?rlkey=pdr9eqqsw8lmfg1zjpzf81l2v&amp;dl=0","Click to download SizeChart")</f>
      </c>
      <c r="C1042" s="0" t="inlineStr">
        <is>
          <t>Cason Women's Short Sleeve Shirt</t>
        </is>
      </c>
      <c r="D1042" s="1">
        <v>133626</v>
      </c>
      <c r="E1042" s="0" t="inlineStr">
        <is>
          <t>IOWA CASON W BK:133626B-M</t>
        </is>
      </c>
      <c r="F1042" s="2">
        <v>800133626050</v>
      </c>
      <c r="G1042" s="0" t="inlineStr">
        <is>
          <t>WOMENS</t>
        </is>
      </c>
      <c r="H1042" s="0" t="inlineStr">
        <is>
          <t>M</t>
        </is>
      </c>
      <c r="I1042" s="0">
        <v>29.99</v>
      </c>
      <c r="J1042" s="0">
        <v>6</v>
      </c>
    </row>
    <row r="1043" spans="1:10" customHeight="0">
      <c r="A1043" s="0">
        <f>HYPERLINK("https://dl.dropboxusercontent.com/scl/fi/oublt7cab0fg43imovdcj/cason-133626t.jpg?rlkey=0ohs491oy9ogtsd0jg1wn1abf&amp;dl=0","Click to download Image")</f>
      </c>
      <c r="B1043" s="0">
        <f>HYPERLINK("https://dl.dropboxusercontent.com/scl/fi/2g2ndlop9qxtba9m956yv/womens-t-shirt-size-chartscason-sara.jpg?rlkey=pdr9eqqsw8lmfg1zjpzf81l2v&amp;dl=0","Click to download SizeChart")</f>
      </c>
      <c r="C1043" s="0" t="inlineStr">
        <is>
          <t>Cason Women's Short Sleeve Shirt</t>
        </is>
      </c>
      <c r="D1043" s="1">
        <v>133626</v>
      </c>
      <c r="E1043" s="0" t="inlineStr">
        <is>
          <t>IOWA CASON W BK:133626C-L</t>
        </is>
      </c>
      <c r="F1043" s="2">
        <v>800133626067</v>
      </c>
      <c r="G1043" s="0" t="inlineStr">
        <is>
          <t>WOMENS</t>
        </is>
      </c>
      <c r="H1043" s="0" t="inlineStr">
        <is>
          <t>L</t>
        </is>
      </c>
      <c r="I1043" s="0">
        <v>29.99</v>
      </c>
      <c r="J1043" s="0">
        <v>8</v>
      </c>
    </row>
    <row r="1044" spans="1:10" customHeight="0">
      <c r="A1044" s="0">
        <f>HYPERLINK("https://dl.dropboxusercontent.com/scl/fi/oublt7cab0fg43imovdcj/cason-133626t.jpg?rlkey=0ohs491oy9ogtsd0jg1wn1abf&amp;dl=0","Click to download Image")</f>
      </c>
      <c r="B1044" s="0">
        <f>HYPERLINK("https://dl.dropboxusercontent.com/scl/fi/2g2ndlop9qxtba9m956yv/womens-t-shirt-size-chartscason-sara.jpg?rlkey=pdr9eqqsw8lmfg1zjpzf81l2v&amp;dl=0","Click to download SizeChart")</f>
      </c>
      <c r="C1044" s="0" t="inlineStr">
        <is>
          <t>Cason Women's Short Sleeve Shirt</t>
        </is>
      </c>
      <c r="D1044" s="1">
        <v>133626</v>
      </c>
      <c r="E1044" s="0" t="inlineStr">
        <is>
          <t>IOWA CASON W BK:133626D-XL</t>
        </is>
      </c>
      <c r="F1044" s="2">
        <v>800133626074</v>
      </c>
      <c r="G1044" s="0" t="inlineStr">
        <is>
          <t>WOMENS</t>
        </is>
      </c>
      <c r="H1044" s="0" t="inlineStr">
        <is>
          <t>XL</t>
        </is>
      </c>
      <c r="I1044" s="0">
        <v>29.99</v>
      </c>
      <c r="J1044" s="0">
        <v>0</v>
      </c>
    </row>
    <row r="1045" spans="1:10" customHeight="0">
      <c r="A1045" s="0">
        <f>HYPERLINK("https://dl.dropboxusercontent.com/scl/fi/oublt7cab0fg43imovdcj/cason-133626t.jpg?rlkey=0ohs491oy9ogtsd0jg1wn1abf&amp;dl=0","Click to download Image")</f>
      </c>
      <c r="B1045" s="0">
        <f>HYPERLINK("https://dl.dropboxusercontent.com/scl/fi/2g2ndlop9qxtba9m956yv/womens-t-shirt-size-chartscason-sara.jpg?rlkey=pdr9eqqsw8lmfg1zjpzf81l2v&amp;dl=0","Click to download SizeChart")</f>
      </c>
      <c r="C1045" s="0" t="inlineStr">
        <is>
          <t>Cason Women's Short Sleeve Shirt</t>
        </is>
      </c>
      <c r="D1045" s="1">
        <v>133626</v>
      </c>
      <c r="E1045" s="0" t="inlineStr">
        <is>
          <t>IOWA CASON W BK:133626E-2XL</t>
        </is>
      </c>
      <c r="F1045" s="2">
        <v>800133626081</v>
      </c>
      <c r="G1045" s="0" t="inlineStr">
        <is>
          <t>WOMENS</t>
        </is>
      </c>
      <c r="H1045" s="0" t="inlineStr">
        <is>
          <t>2XL</t>
        </is>
      </c>
      <c r="I1045" s="0">
        <v>29.99</v>
      </c>
      <c r="J1045" s="0">
        <v>6</v>
      </c>
    </row>
    <row r="1046" spans="1:10" customHeight="0">
      <c r="A1046" s="0">
        <f>HYPERLINK("https://dl.dropboxusercontent.com/scl/fi/oublt7cab0fg43imovdcj/cason-133626t.jpg?rlkey=0ohs491oy9ogtsd0jg1wn1abf&amp;dl=0","Click to download Image")</f>
      </c>
      <c r="B1046" s="0">
        <f>HYPERLINK("https://dl.dropboxusercontent.com/scl/fi/2g2ndlop9qxtba9m956yv/womens-t-shirt-size-chartscason-sara.jpg?rlkey=pdr9eqqsw8lmfg1zjpzf81l2v&amp;dl=0","Click to download SizeChart")</f>
      </c>
      <c r="C1046" s="0" t="inlineStr">
        <is>
          <t>Cason Women's Short Sleeve Shirt</t>
        </is>
      </c>
      <c r="D1046" s="1">
        <v>133626</v>
      </c>
      <c r="E1046" s="0" t="inlineStr">
        <is>
          <t>IOWA CASON W BK:133626F-3XL</t>
        </is>
      </c>
      <c r="F1046" s="2">
        <v>800133626098</v>
      </c>
      <c r="G1046" s="0" t="inlineStr">
        <is>
          <t>WOMENS</t>
        </is>
      </c>
      <c r="H1046" s="0" t="inlineStr">
        <is>
          <t>3XL</t>
        </is>
      </c>
      <c r="I1046" s="0">
        <v>29.99</v>
      </c>
      <c r="J1046" s="0">
        <v>4</v>
      </c>
    </row>
    <row r="1047" spans="1:10" customHeight="0">
      <c r="A1047" s="0">
        <f>HYPERLINK("https://dl.dropboxusercontent.com/scl/fi/789hidehozgm42tdoz1sx/ciri-137436f.jpg?rlkey=gsnwn6nc916tn5u4gy0zux1ih&amp;dl=0","Click to download Image")</f>
      </c>
      <c r="B1047" s="0">
        <f>HYPERLINK("https://dl.dropboxusercontent.com/scl/fi/n1m0kwgmhar4ssju9lb2h/graphic-update2022-mens.jpg?rlkey=vffroq8jx24yrkr9z2qpv8j6z&amp;dl=0","Click to download SizeChart")</f>
      </c>
      <c r="C1047" s="0" t="inlineStr">
        <is>
          <t>Ciri Men's Hoodie</t>
        </is>
      </c>
      <c r="D1047" s="1">
        <v>137436</v>
      </c>
      <c r="E1047" s="0" t="inlineStr">
        <is>
          <t>IOWA CIRI M BK:137436A-S</t>
        </is>
      </c>
      <c r="F1047" s="2">
        <v>800137436044</v>
      </c>
      <c r="G1047" s="0" t="inlineStr">
        <is>
          <t>MENS</t>
        </is>
      </c>
      <c r="H1047" s="0" t="inlineStr">
        <is>
          <t>S</t>
        </is>
      </c>
      <c r="I1047" s="0">
        <v>29.99</v>
      </c>
      <c r="J1047" s="0">
        <v>0</v>
      </c>
    </row>
    <row r="1048" spans="1:10" customHeight="0">
      <c r="A1048" s="0">
        <f>HYPERLINK("https://dl.dropboxusercontent.com/scl/fi/789hidehozgm42tdoz1sx/ciri-137436f.jpg?rlkey=gsnwn6nc916tn5u4gy0zux1ih&amp;dl=0","Click to download Image")</f>
      </c>
      <c r="B1048" s="0">
        <f>HYPERLINK("https://dl.dropboxusercontent.com/scl/fi/n1m0kwgmhar4ssju9lb2h/graphic-update2022-mens.jpg?rlkey=vffroq8jx24yrkr9z2qpv8j6z&amp;dl=0","Click to download SizeChart")</f>
      </c>
      <c r="C1048" s="0" t="inlineStr">
        <is>
          <t>Ciri Men's Hoodie</t>
        </is>
      </c>
      <c r="D1048" s="1">
        <v>137436</v>
      </c>
      <c r="E1048" s="0" t="inlineStr">
        <is>
          <t>IOWA CIRI M BK:137436B-M</t>
        </is>
      </c>
      <c r="F1048" s="2">
        <v>800137436051</v>
      </c>
      <c r="G1048" s="0" t="inlineStr">
        <is>
          <t>MENS</t>
        </is>
      </c>
      <c r="H1048" s="0" t="inlineStr">
        <is>
          <t>M</t>
        </is>
      </c>
      <c r="I1048" s="0">
        <v>29.99</v>
      </c>
      <c r="J1048" s="0">
        <v>8</v>
      </c>
    </row>
    <row r="1049" spans="1:10" customHeight="0">
      <c r="A1049" s="0">
        <f>HYPERLINK("https://dl.dropboxusercontent.com/scl/fi/789hidehozgm42tdoz1sx/ciri-137436f.jpg?rlkey=gsnwn6nc916tn5u4gy0zux1ih&amp;dl=0","Click to download Image")</f>
      </c>
      <c r="B1049" s="0">
        <f>HYPERLINK("https://dl.dropboxusercontent.com/scl/fi/n1m0kwgmhar4ssju9lb2h/graphic-update2022-mens.jpg?rlkey=vffroq8jx24yrkr9z2qpv8j6z&amp;dl=0","Click to download SizeChart")</f>
      </c>
      <c r="C1049" s="0" t="inlineStr">
        <is>
          <t>Ciri Men's Hoodie</t>
        </is>
      </c>
      <c r="D1049" s="1">
        <v>137436</v>
      </c>
      <c r="E1049" s="0" t="inlineStr">
        <is>
          <t>IOWA CIRI M BK:137436C-L</t>
        </is>
      </c>
      <c r="F1049" s="2">
        <v>800137436068</v>
      </c>
      <c r="G1049" s="0" t="inlineStr">
        <is>
          <t>MENS</t>
        </is>
      </c>
      <c r="H1049" s="0" t="inlineStr">
        <is>
          <t>L</t>
        </is>
      </c>
      <c r="I1049" s="0">
        <v>29.99</v>
      </c>
      <c r="J1049" s="0">
        <v>0</v>
      </c>
    </row>
    <row r="1050" spans="1:10" customHeight="0">
      <c r="A1050" s="0">
        <f>HYPERLINK("https://dl.dropboxusercontent.com/scl/fi/789hidehozgm42tdoz1sx/ciri-137436f.jpg?rlkey=gsnwn6nc916tn5u4gy0zux1ih&amp;dl=0","Click to download Image")</f>
      </c>
      <c r="B1050" s="0">
        <f>HYPERLINK("https://dl.dropboxusercontent.com/scl/fi/n1m0kwgmhar4ssju9lb2h/graphic-update2022-mens.jpg?rlkey=vffroq8jx24yrkr9z2qpv8j6z&amp;dl=0","Click to download SizeChart")</f>
      </c>
      <c r="C1050" s="0" t="inlineStr">
        <is>
          <t>Ciri Men's Hoodie</t>
        </is>
      </c>
      <c r="D1050" s="1">
        <v>137436</v>
      </c>
      <c r="E1050" s="0" t="inlineStr">
        <is>
          <t>IOWA CIRI M BK:137436D-XL</t>
        </is>
      </c>
      <c r="F1050" s="2">
        <v>800137436075</v>
      </c>
      <c r="G1050" s="0" t="inlineStr">
        <is>
          <t>MENS</t>
        </is>
      </c>
      <c r="H1050" s="0" t="inlineStr">
        <is>
          <t>XL</t>
        </is>
      </c>
      <c r="I1050" s="0">
        <v>29.99</v>
      </c>
      <c r="J1050" s="0">
        <v>0</v>
      </c>
    </row>
    <row r="1051" spans="1:10" customHeight="0">
      <c r="A1051" s="0">
        <f>HYPERLINK("https://dl.dropboxusercontent.com/scl/fi/789hidehozgm42tdoz1sx/ciri-137436f.jpg?rlkey=gsnwn6nc916tn5u4gy0zux1ih&amp;dl=0","Click to download Image")</f>
      </c>
      <c r="B1051" s="0">
        <f>HYPERLINK("https://dl.dropboxusercontent.com/scl/fi/n1m0kwgmhar4ssju9lb2h/graphic-update2022-mens.jpg?rlkey=vffroq8jx24yrkr9z2qpv8j6z&amp;dl=0","Click to download SizeChart")</f>
      </c>
      <c r="C1051" s="0" t="inlineStr">
        <is>
          <t>Ciri Men's Hoodie</t>
        </is>
      </c>
      <c r="D1051" s="1">
        <v>137436</v>
      </c>
      <c r="E1051" s="0" t="inlineStr">
        <is>
          <t>IOWA CIRI M BK:137436E-2XL</t>
        </is>
      </c>
      <c r="F1051" s="2">
        <v>800137436082</v>
      </c>
      <c r="G1051" s="0" t="inlineStr">
        <is>
          <t>MENS</t>
        </is>
      </c>
      <c r="H1051" s="0" t="inlineStr">
        <is>
          <t>2XL</t>
        </is>
      </c>
      <c r="I1051" s="0">
        <v>29.99</v>
      </c>
      <c r="J1051" s="0">
        <v>0</v>
      </c>
    </row>
    <row r="1052" spans="1:10" customHeight="0">
      <c r="A1052" s="0">
        <f>HYPERLINK("https://dl.dropboxusercontent.com/scl/fi/789hidehozgm42tdoz1sx/ciri-137436f.jpg?rlkey=gsnwn6nc916tn5u4gy0zux1ih&amp;dl=0","Click to download Image")</f>
      </c>
      <c r="B1052" s="0">
        <f>HYPERLINK("https://dl.dropboxusercontent.com/scl/fi/n1m0kwgmhar4ssju9lb2h/graphic-update2022-mens.jpg?rlkey=vffroq8jx24yrkr9z2qpv8j6z&amp;dl=0","Click to download SizeChart")</f>
      </c>
      <c r="C1052" s="0" t="inlineStr">
        <is>
          <t>Ciri Men's Hoodie</t>
        </is>
      </c>
      <c r="D1052" s="1">
        <v>137436</v>
      </c>
      <c r="E1052" s="0" t="inlineStr">
        <is>
          <t>IOWA CIRI M BK:137436F-3XL</t>
        </is>
      </c>
      <c r="F1052" s="2">
        <v>800137436099</v>
      </c>
      <c r="G1052" s="0" t="inlineStr">
        <is>
          <t>MENS</t>
        </is>
      </c>
      <c r="H1052" s="0" t="inlineStr">
        <is>
          <t>3XL</t>
        </is>
      </c>
      <c r="I1052" s="0">
        <v>29.99</v>
      </c>
      <c r="J1052" s="0">
        <v>0</v>
      </c>
    </row>
    <row r="1053" spans="1:10" customHeight="0">
      <c r="A1053" s="0">
        <f>HYPERLINK("https://dl.dropboxusercontent.com/scl/fi/opdqgke5ei1trvvnsxqoj/113287af.jpg?rlkey=c7lpdu9dqu7p4pnei1j4fwwbx&amp;dl=0","Click to download Image")</f>
      </c>
      <c r="B1053" s="0">
        <f>HYPERLINK("https://dl.dropboxusercontent.com/scl/fi/5lh1q5euf9puurw3pss5v/mens-polo-size-chartsbrent.jpg?rlkey=8zwtne1l06cenvv0tcbsky3pk&amp;dl=0","Click to download SizeChart")</f>
      </c>
      <c r="C1053" s="0" t="inlineStr">
        <is>
          <t>Bellamy Men's Polo</t>
        </is>
      </c>
      <c r="D1053" s="1">
        <v>113287</v>
      </c>
      <c r="E1053" s="0" t="inlineStr">
        <is>
          <t>IOWA BELLAMY M BLACK:113287A-S</t>
        </is>
      </c>
      <c r="F1053" s="2">
        <v>800113287042</v>
      </c>
      <c r="G1053" s="0" t="inlineStr">
        <is>
          <t>MENS</t>
        </is>
      </c>
      <c r="H1053" s="0" t="inlineStr">
        <is>
          <t>S</t>
        </is>
      </c>
      <c r="I1053" s="0">
        <v>39.99</v>
      </c>
      <c r="J1053" s="0">
        <v>5</v>
      </c>
    </row>
    <row r="1054" spans="1:10" customHeight="0">
      <c r="A1054" s="0">
        <f>HYPERLINK("https://dl.dropboxusercontent.com/scl/fi/opdqgke5ei1trvvnsxqoj/113287af.jpg?rlkey=c7lpdu9dqu7p4pnei1j4fwwbx&amp;dl=0","Click to download Image")</f>
      </c>
      <c r="B1054" s="0">
        <f>HYPERLINK("https://dl.dropboxusercontent.com/scl/fi/5lh1q5euf9puurw3pss5v/mens-polo-size-chartsbrent.jpg?rlkey=8zwtne1l06cenvv0tcbsky3pk&amp;dl=0","Click to download SizeChart")</f>
      </c>
      <c r="C1054" s="0" t="inlineStr">
        <is>
          <t>Bellamy Men's Polo</t>
        </is>
      </c>
      <c r="D1054" s="1">
        <v>113287</v>
      </c>
      <c r="E1054" s="0" t="inlineStr">
        <is>
          <t>IOWA BELLAMY M BLACK:113287B-M</t>
        </is>
      </c>
      <c r="F1054" s="2">
        <v>800113287059</v>
      </c>
      <c r="G1054" s="0" t="inlineStr">
        <is>
          <t>MENS</t>
        </is>
      </c>
      <c r="H1054" s="0" t="inlineStr">
        <is>
          <t>M</t>
        </is>
      </c>
      <c r="I1054" s="0">
        <v>39.99</v>
      </c>
      <c r="J1054" s="0">
        <v>0</v>
      </c>
    </row>
    <row r="1055" spans="1:10" customHeight="0">
      <c r="A1055" s="0">
        <f>HYPERLINK("https://dl.dropboxusercontent.com/scl/fi/opdqgke5ei1trvvnsxqoj/113287af.jpg?rlkey=c7lpdu9dqu7p4pnei1j4fwwbx&amp;dl=0","Click to download Image")</f>
      </c>
      <c r="B1055" s="0">
        <f>HYPERLINK("https://dl.dropboxusercontent.com/scl/fi/5lh1q5euf9puurw3pss5v/mens-polo-size-chartsbrent.jpg?rlkey=8zwtne1l06cenvv0tcbsky3pk&amp;dl=0","Click to download SizeChart")</f>
      </c>
      <c r="C1055" s="0" t="inlineStr">
        <is>
          <t>Bellamy Men's Polo</t>
        </is>
      </c>
      <c r="D1055" s="1">
        <v>113287</v>
      </c>
      <c r="E1055" s="0" t="inlineStr">
        <is>
          <t>IOWA BELLAMY M BLACK:113287C-L</t>
        </is>
      </c>
      <c r="F1055" s="2">
        <v>800113287066</v>
      </c>
      <c r="G1055" s="0" t="inlineStr">
        <is>
          <t>MENS</t>
        </is>
      </c>
      <c r="H1055" s="0" t="inlineStr">
        <is>
          <t>L</t>
        </is>
      </c>
      <c r="I1055" s="0">
        <v>39.99</v>
      </c>
      <c r="J1055" s="0">
        <v>0</v>
      </c>
    </row>
    <row r="1056" spans="1:10" customHeight="0">
      <c r="A1056" s="0">
        <f>HYPERLINK("https://dl.dropboxusercontent.com/scl/fi/opdqgke5ei1trvvnsxqoj/113287af.jpg?rlkey=c7lpdu9dqu7p4pnei1j4fwwbx&amp;dl=0","Click to download Image")</f>
      </c>
      <c r="B1056" s="0">
        <f>HYPERLINK("https://dl.dropboxusercontent.com/scl/fi/5lh1q5euf9puurw3pss5v/mens-polo-size-chartsbrent.jpg?rlkey=8zwtne1l06cenvv0tcbsky3pk&amp;dl=0","Click to download SizeChart")</f>
      </c>
      <c r="C1056" s="0" t="inlineStr">
        <is>
          <t>Bellamy Men's Polo</t>
        </is>
      </c>
      <c r="D1056" s="1">
        <v>113287</v>
      </c>
      <c r="E1056" s="0" t="inlineStr">
        <is>
          <t>IOWA BELLAMY M BLACK:113287D-XL</t>
        </is>
      </c>
      <c r="F1056" s="2">
        <v>800113287073</v>
      </c>
      <c r="G1056" s="0" t="inlineStr">
        <is>
          <t>MENS</t>
        </is>
      </c>
      <c r="H1056" s="0" t="inlineStr">
        <is>
          <t>XL</t>
        </is>
      </c>
      <c r="I1056" s="0">
        <v>39.99</v>
      </c>
      <c r="J1056" s="0">
        <v>0</v>
      </c>
    </row>
    <row r="1057" spans="1:10" customHeight="0">
      <c r="A1057" s="0">
        <f>HYPERLINK("https://dl.dropboxusercontent.com/scl/fi/opdqgke5ei1trvvnsxqoj/113287af.jpg?rlkey=c7lpdu9dqu7p4pnei1j4fwwbx&amp;dl=0","Click to download Image")</f>
      </c>
      <c r="B1057" s="0">
        <f>HYPERLINK("https://dl.dropboxusercontent.com/scl/fi/5lh1q5euf9puurw3pss5v/mens-polo-size-chartsbrent.jpg?rlkey=8zwtne1l06cenvv0tcbsky3pk&amp;dl=0","Click to download SizeChart")</f>
      </c>
      <c r="C1057" s="0" t="inlineStr">
        <is>
          <t>Bellamy Men's Polo</t>
        </is>
      </c>
      <c r="D1057" s="1">
        <v>113287</v>
      </c>
      <c r="E1057" s="0" t="inlineStr">
        <is>
          <t>IOWA BELLAMY M BLACK:113287E-2XL</t>
        </is>
      </c>
      <c r="F1057" s="2">
        <v>800113287080</v>
      </c>
      <c r="G1057" s="0" t="inlineStr">
        <is>
          <t>MENS</t>
        </is>
      </c>
      <c r="H1057" s="0" t="inlineStr">
        <is>
          <t>2XL</t>
        </is>
      </c>
      <c r="I1057" s="0">
        <v>41.99</v>
      </c>
      <c r="J1057" s="0">
        <v>0</v>
      </c>
    </row>
    <row r="1058" spans="1:10" customHeight="0">
      <c r="A1058" s="0">
        <f>HYPERLINK("https://dl.dropboxusercontent.com/scl/fi/opdqgke5ei1trvvnsxqoj/113287af.jpg?rlkey=c7lpdu9dqu7p4pnei1j4fwwbx&amp;dl=0","Click to download Image")</f>
      </c>
      <c r="B1058" s="0">
        <f>HYPERLINK("https://dl.dropboxusercontent.com/scl/fi/5lh1q5euf9puurw3pss5v/mens-polo-size-chartsbrent.jpg?rlkey=8zwtne1l06cenvv0tcbsky3pk&amp;dl=0","Click to download SizeChart")</f>
      </c>
      <c r="C1058" s="0" t="inlineStr">
        <is>
          <t>Bellamy Men's Polo</t>
        </is>
      </c>
      <c r="D1058" s="1">
        <v>113287</v>
      </c>
      <c r="E1058" s="0" t="inlineStr">
        <is>
          <t>IOWA BELLAMY M BLACK:113287F-3XL</t>
        </is>
      </c>
      <c r="F1058" s="2">
        <v>800113287097</v>
      </c>
      <c r="G1058" s="0" t="inlineStr">
        <is>
          <t>MENS</t>
        </is>
      </c>
      <c r="H1058" s="0" t="inlineStr">
        <is>
          <t>3XL</t>
        </is>
      </c>
      <c r="I1058" s="0">
        <v>41.99</v>
      </c>
      <c r="J1058" s="0">
        <v>0</v>
      </c>
    </row>
    <row r="1059" spans="1:10" customHeight="0">
      <c r="A1059" s="0">
        <f>HYPERLINK("https://dl.dropboxusercontent.com/scl/fi/opdqgke5ei1trvvnsxqoj/113287af.jpg?rlkey=c7lpdu9dqu7p4pnei1j4fwwbx&amp;dl=0","Click to download Image")</f>
      </c>
      <c r="B1059" s="0">
        <f>HYPERLINK("https://dl.dropboxusercontent.com/scl/fi/5lh1q5euf9puurw3pss5v/mens-polo-size-chartsbrent.jpg?rlkey=8zwtne1l06cenvv0tcbsky3pk&amp;dl=0","Click to download SizeChart")</f>
      </c>
      <c r="C1059" s="0" t="inlineStr">
        <is>
          <t>Bellamy Men's Polo</t>
        </is>
      </c>
      <c r="D1059" s="1">
        <v>113287</v>
      </c>
      <c r="E1059" s="0" t="inlineStr">
        <is>
          <t>IOWA BELLAMY M BLACK 12 PACK:113287Z-12PK</t>
        </is>
      </c>
      <c r="F1059" s="2">
        <v>800113287998</v>
      </c>
      <c r="G1059" s="0" t="inlineStr">
        <is>
          <t>MENS</t>
        </is>
      </c>
      <c r="H1059" s="0" t="inlineStr">
        <is>
          <t>12 PACK</t>
        </is>
      </c>
      <c r="I1059" s="0">
        <v>390</v>
      </c>
      <c r="J1059" s="0">
        <v>0</v>
      </c>
    </row>
    <row r="1060" spans="1:10" customHeight="0">
      <c r="A1060" s="0">
        <f>HYPERLINK("https://dl.dropboxusercontent.com/scl/fi/30c2u1mvd0cp65e95ufft/113579-af.jpg?rlkey=8z6gzdjx3f5n1u9jw450k5dkr&amp;dl=0","Click to download Image")</f>
      </c>
      <c r="C1060" s="0" t="inlineStr">
        <is>
          <t>Belmont Tote</t>
        </is>
      </c>
      <c r="D1060" s="1">
        <v>113579</v>
      </c>
      <c r="E1060" s="0" t="inlineStr">
        <is>
          <t>IOWA BELMONT BLACK:113579</t>
        </is>
      </c>
      <c r="F1060" s="2">
        <v>900113579014</v>
      </c>
      <c r="H1060" s="0" t="inlineStr">
        <is>
          <t>14 W X 16 H X 6 D</t>
        </is>
      </c>
      <c r="I1060" s="0">
        <v>49.99</v>
      </c>
      <c r="J1060" s="0">
        <v>18</v>
      </c>
    </row>
    <row r="1061" spans="1:10" customHeight="0">
      <c r="A1061" s="0">
        <f>HYPERLINK("https://dl.dropboxusercontent.com/scl/fi/02kphj3oagd745a84oby5/iowa-set-f.jpg?rlkey=cpxnvu52jcm2kzgffi4v2g6t7&amp;dl=0","Click to download Image")</f>
      </c>
      <c r="C1061" s="0" t="inlineStr">
        <is>
          <t>Bryn Infant Bodysuit</t>
        </is>
      </c>
      <c r="D1061" s="1">
        <v>123112</v>
      </c>
      <c r="E1061" s="0" t="inlineStr">
        <is>
          <t>IOWA BRYN I GD:123112A-0-3M</t>
        </is>
      </c>
      <c r="F1061" s="2">
        <v>800123112006</v>
      </c>
      <c r="G1061" s="0" t="inlineStr">
        <is>
          <t>INFANT</t>
        </is>
      </c>
      <c r="H1061" s="0" t="inlineStr">
        <is>
          <t>0-3M</t>
        </is>
      </c>
      <c r="I1061" s="0">
        <v>29.99</v>
      </c>
      <c r="J1061" s="0">
        <v>8</v>
      </c>
    </row>
    <row r="1062" spans="1:10" customHeight="0">
      <c r="A1062" s="0">
        <f>HYPERLINK("https://dl.dropboxusercontent.com/scl/fi/02kphj3oagd745a84oby5/iowa-set-f.jpg?rlkey=cpxnvu52jcm2kzgffi4v2g6t7&amp;dl=0","Click to download Image")</f>
      </c>
      <c r="C1062" s="0" t="inlineStr">
        <is>
          <t>Bryn Infant Bodysuit</t>
        </is>
      </c>
      <c r="D1062" s="1">
        <v>123112</v>
      </c>
      <c r="E1062" s="0" t="inlineStr">
        <is>
          <t>IOWA BRYN I GD:123112B-3-6M</t>
        </is>
      </c>
      <c r="F1062" s="2">
        <v>800123112013</v>
      </c>
      <c r="G1062" s="0" t="inlineStr">
        <is>
          <t>INFANT</t>
        </is>
      </c>
      <c r="H1062" s="0" t="inlineStr">
        <is>
          <t>3-6M</t>
        </is>
      </c>
      <c r="I1062" s="0">
        <v>29.99</v>
      </c>
      <c r="J1062" s="0">
        <v>7</v>
      </c>
    </row>
    <row r="1063" spans="1:10" customHeight="0">
      <c r="A1063" s="0">
        <f>HYPERLINK("https://dl.dropboxusercontent.com/scl/fi/02kphj3oagd745a84oby5/iowa-set-f.jpg?rlkey=cpxnvu52jcm2kzgffi4v2g6t7&amp;dl=0","Click to download Image")</f>
      </c>
      <c r="C1063" s="0" t="inlineStr">
        <is>
          <t>Bryn Infant Bodysuit</t>
        </is>
      </c>
      <c r="D1063" s="1">
        <v>123112</v>
      </c>
      <c r="E1063" s="0" t="inlineStr">
        <is>
          <t>IOWA BRYN I GD:123112C-6-9M</t>
        </is>
      </c>
      <c r="F1063" s="2">
        <v>800123112020</v>
      </c>
      <c r="G1063" s="0" t="inlineStr">
        <is>
          <t>INFANT</t>
        </is>
      </c>
      <c r="H1063" s="0" t="inlineStr">
        <is>
          <t>6-9M</t>
        </is>
      </c>
      <c r="I1063" s="0">
        <v>29.99</v>
      </c>
      <c r="J1063" s="0">
        <v>3</v>
      </c>
    </row>
    <row r="1064" spans="1:10" customHeight="0">
      <c r="A1064" s="0">
        <f>HYPERLINK("https://dl.dropboxusercontent.com/scl/fi/02kphj3oagd745a84oby5/iowa-set-f.jpg?rlkey=cpxnvu52jcm2kzgffi4v2g6t7&amp;dl=0","Click to download Image")</f>
      </c>
      <c r="C1064" s="0" t="inlineStr">
        <is>
          <t>Bryn Infant Bodysuit</t>
        </is>
      </c>
      <c r="D1064" s="1">
        <v>123112</v>
      </c>
      <c r="E1064" s="0" t="inlineStr">
        <is>
          <t>IOWA BRYN I GD:123112F-12M</t>
        </is>
      </c>
      <c r="F1064" s="2">
        <v>800123112037</v>
      </c>
      <c r="G1064" s="0" t="inlineStr">
        <is>
          <t>INFANT</t>
        </is>
      </c>
      <c r="H1064" s="0" t="inlineStr">
        <is>
          <t>12M</t>
        </is>
      </c>
      <c r="I1064" s="0">
        <v>29.99</v>
      </c>
      <c r="J1064" s="0">
        <v>3</v>
      </c>
    </row>
    <row r="1065" spans="1:10" customHeight="0">
      <c r="A1065" s="0">
        <f>HYPERLINK("https://dl.dropboxusercontent.com/scl/fi/02kphj3oagd745a84oby5/iowa-set-f.jpg?rlkey=cpxnvu52jcm2kzgffi4v2g6t7&amp;dl=0","Click to download Image")</f>
      </c>
      <c r="C1065" s="0" t="inlineStr">
        <is>
          <t>Bryn Infant Bodysuit</t>
        </is>
      </c>
      <c r="D1065" s="1">
        <v>123112</v>
      </c>
      <c r="E1065" s="0" t="inlineStr">
        <is>
          <t>IOWA BRYN I GD 12PK:123112Z-12PK</t>
        </is>
      </c>
      <c r="F1065" s="2">
        <v>800123112990</v>
      </c>
      <c r="G1065" s="0" t="inlineStr">
        <is>
          <t>INFANT</t>
        </is>
      </c>
      <c r="H1065" s="0" t="inlineStr">
        <is>
          <t>12 PACK</t>
        </is>
      </c>
      <c r="I1065" s="0">
        <v>288</v>
      </c>
      <c r="J1065" s="0">
        <v>0</v>
      </c>
    </row>
    <row r="1066" spans="1:10" customHeight="0">
      <c r="A1066" s="0">
        <f>HYPERLINK("https://dl.dropboxusercontent.com/scl/fi/2qxvf0ykql7boan8q8m6q/dsc0196-2.jpg?rlkey=4uqncueqqm7miyukqvictlbt3&amp;dl=0","Click to download Image")</f>
      </c>
      <c r="B1066" s="0">
        <f>HYPERLINK("https://dl.dropboxusercontent.com/scl/fi/mtd5j12pz3mpdfjlrl1ie/mens-jackets-size-chartscolin.jpg?rlkey=zq5zpln55hirdp3c2lnv30scd&amp;dl=0","Click to download SizeChart")</f>
      </c>
      <c r="C1066" s="0" t="inlineStr">
        <is>
          <t>Colin Men's Puffer Jacket</t>
        </is>
      </c>
      <c r="D1066" s="1">
        <v>113397</v>
      </c>
      <c r="E1066" s="0" t="inlineStr">
        <is>
          <t>IOWA COLIN M BLACK:113397A-S</t>
        </is>
      </c>
      <c r="F1066" s="2">
        <v>800113397048</v>
      </c>
      <c r="G1066" s="0" t="inlineStr">
        <is>
          <t>MENS</t>
        </is>
      </c>
      <c r="H1066" s="0" t="inlineStr">
        <is>
          <t>S</t>
        </is>
      </c>
      <c r="I1066" s="0">
        <v>99.99</v>
      </c>
      <c r="J1066" s="0">
        <v>18</v>
      </c>
    </row>
    <row r="1067" spans="1:10" customHeight="0">
      <c r="A1067" s="0">
        <f>HYPERLINK("https://dl.dropboxusercontent.com/scl/fi/2qxvf0ykql7boan8q8m6q/dsc0196-2.jpg?rlkey=4uqncueqqm7miyukqvictlbt3&amp;dl=0","Click to download Image")</f>
      </c>
      <c r="B1067" s="0">
        <f>HYPERLINK("https://dl.dropboxusercontent.com/scl/fi/mtd5j12pz3mpdfjlrl1ie/mens-jackets-size-chartscolin.jpg?rlkey=zq5zpln55hirdp3c2lnv30scd&amp;dl=0","Click to download SizeChart")</f>
      </c>
      <c r="C1067" s="0" t="inlineStr">
        <is>
          <t>Colin Men's Puffer Jacket</t>
        </is>
      </c>
      <c r="D1067" s="1">
        <v>113397</v>
      </c>
      <c r="E1067" s="0" t="inlineStr">
        <is>
          <t>IOWA COLIN M BLACK:113397B-M</t>
        </is>
      </c>
      <c r="F1067" s="2">
        <v>800113397055</v>
      </c>
      <c r="G1067" s="0" t="inlineStr">
        <is>
          <t>MENS</t>
        </is>
      </c>
      <c r="H1067" s="0" t="inlineStr">
        <is>
          <t>M</t>
        </is>
      </c>
      <c r="I1067" s="0">
        <v>99.99</v>
      </c>
      <c r="J1067" s="0">
        <v>25</v>
      </c>
    </row>
    <row r="1068" spans="1:10" customHeight="0">
      <c r="A1068" s="0">
        <f>HYPERLINK("https://dl.dropboxusercontent.com/scl/fi/2qxvf0ykql7boan8q8m6q/dsc0196-2.jpg?rlkey=4uqncueqqm7miyukqvictlbt3&amp;dl=0","Click to download Image")</f>
      </c>
      <c r="B1068" s="0">
        <f>HYPERLINK("https://dl.dropboxusercontent.com/scl/fi/mtd5j12pz3mpdfjlrl1ie/mens-jackets-size-chartscolin.jpg?rlkey=zq5zpln55hirdp3c2lnv30scd&amp;dl=0","Click to download SizeChart")</f>
      </c>
      <c r="C1068" s="0" t="inlineStr">
        <is>
          <t>Colin Men's Puffer Jacket</t>
        </is>
      </c>
      <c r="D1068" s="1">
        <v>113397</v>
      </c>
      <c r="E1068" s="0" t="inlineStr">
        <is>
          <t>IOWA COLIN M BLACK:113397C-L</t>
        </is>
      </c>
      <c r="F1068" s="2">
        <v>800113397062</v>
      </c>
      <c r="G1068" s="0" t="inlineStr">
        <is>
          <t>MENS</t>
        </is>
      </c>
      <c r="H1068" s="0" t="inlineStr">
        <is>
          <t>L</t>
        </is>
      </c>
      <c r="I1068" s="0">
        <v>99.99</v>
      </c>
      <c r="J1068" s="0">
        <v>30</v>
      </c>
    </row>
    <row r="1069" spans="1:10" customHeight="0">
      <c r="A1069" s="0">
        <f>HYPERLINK("https://dl.dropboxusercontent.com/scl/fi/2qxvf0ykql7boan8q8m6q/dsc0196-2.jpg?rlkey=4uqncueqqm7miyukqvictlbt3&amp;dl=0","Click to download Image")</f>
      </c>
      <c r="B1069" s="0">
        <f>HYPERLINK("https://dl.dropboxusercontent.com/scl/fi/mtd5j12pz3mpdfjlrl1ie/mens-jackets-size-chartscolin.jpg?rlkey=zq5zpln55hirdp3c2lnv30scd&amp;dl=0","Click to download SizeChart")</f>
      </c>
      <c r="C1069" s="0" t="inlineStr">
        <is>
          <t>Colin Men's Puffer Jacket</t>
        </is>
      </c>
      <c r="D1069" s="1">
        <v>113397</v>
      </c>
      <c r="E1069" s="0" t="inlineStr">
        <is>
          <t>IOWA COLIN M BLACK:113397D-XL</t>
        </is>
      </c>
      <c r="F1069" s="2">
        <v>800113397079</v>
      </c>
      <c r="G1069" s="0" t="inlineStr">
        <is>
          <t>MENS</t>
        </is>
      </c>
      <c r="H1069" s="0" t="inlineStr">
        <is>
          <t>XL</t>
        </is>
      </c>
      <c r="I1069" s="0">
        <v>99.99</v>
      </c>
      <c r="J1069" s="0">
        <v>20</v>
      </c>
    </row>
    <row r="1070" spans="1:10" customHeight="0">
      <c r="A1070" s="0">
        <f>HYPERLINK("https://dl.dropboxusercontent.com/scl/fi/2qxvf0ykql7boan8q8m6q/dsc0196-2.jpg?rlkey=4uqncueqqm7miyukqvictlbt3&amp;dl=0","Click to download Image")</f>
      </c>
      <c r="B1070" s="0">
        <f>HYPERLINK("https://dl.dropboxusercontent.com/scl/fi/mtd5j12pz3mpdfjlrl1ie/mens-jackets-size-chartscolin.jpg?rlkey=zq5zpln55hirdp3c2lnv30scd&amp;dl=0","Click to download SizeChart")</f>
      </c>
      <c r="C1070" s="0" t="inlineStr">
        <is>
          <t>Colin Men's Puffer Jacket</t>
        </is>
      </c>
      <c r="D1070" s="1">
        <v>113397</v>
      </c>
      <c r="E1070" s="0" t="inlineStr">
        <is>
          <t>IOWA COLIN M BLACK:113397E-2XL</t>
        </is>
      </c>
      <c r="F1070" s="2">
        <v>800113397086</v>
      </c>
      <c r="G1070" s="0" t="inlineStr">
        <is>
          <t>MENS</t>
        </is>
      </c>
      <c r="H1070" s="0" t="inlineStr">
        <is>
          <t>2XL</t>
        </is>
      </c>
      <c r="I1070" s="0">
        <v>99.99</v>
      </c>
      <c r="J1070" s="0">
        <v>7</v>
      </c>
    </row>
    <row r="1071" spans="1:10" customHeight="0">
      <c r="A1071" s="0">
        <f>HYPERLINK("https://dl.dropboxusercontent.com/scl/fi/2qxvf0ykql7boan8q8m6q/dsc0196-2.jpg?rlkey=4uqncueqqm7miyukqvictlbt3&amp;dl=0","Click to download Image")</f>
      </c>
      <c r="B1071" s="0">
        <f>HYPERLINK("https://dl.dropboxusercontent.com/scl/fi/mtd5j12pz3mpdfjlrl1ie/mens-jackets-size-chartscolin.jpg?rlkey=zq5zpln55hirdp3c2lnv30scd&amp;dl=0","Click to download SizeChart")</f>
      </c>
      <c r="C1071" s="0" t="inlineStr">
        <is>
          <t>Colin Men's Puffer Jacket</t>
        </is>
      </c>
      <c r="D1071" s="1">
        <v>113397</v>
      </c>
      <c r="E1071" s="0" t="inlineStr">
        <is>
          <t>IOWA COLIN M BLACK:113397F-3XL</t>
        </is>
      </c>
      <c r="F1071" s="2">
        <v>800113397093</v>
      </c>
      <c r="G1071" s="0" t="inlineStr">
        <is>
          <t>MENS</t>
        </is>
      </c>
      <c r="H1071" s="0" t="inlineStr">
        <is>
          <t>3XL</t>
        </is>
      </c>
      <c r="I1071" s="0">
        <v>99.99</v>
      </c>
      <c r="J1071" s="0">
        <v>7</v>
      </c>
    </row>
    <row r="1072" spans="1:10" customHeight="0">
      <c r="A1072" s="0">
        <f>HYPERLINK("https://dl.dropboxusercontent.com/scl/fi/2qxvf0ykql7boan8q8m6q/dsc0196-2.jpg?rlkey=4uqncueqqm7miyukqvictlbt3&amp;dl=0","Click to download Image")</f>
      </c>
      <c r="B1072" s="0">
        <f>HYPERLINK("https://dl.dropboxusercontent.com/scl/fi/mtd5j12pz3mpdfjlrl1ie/mens-jackets-size-chartscolin.jpg?rlkey=zq5zpln55hirdp3c2lnv30scd&amp;dl=0","Click to download SizeChart")</f>
      </c>
      <c r="C1072" s="0" t="inlineStr">
        <is>
          <t>Colin Men's Puffer Jacket</t>
        </is>
      </c>
      <c r="D1072" s="1">
        <v>113397</v>
      </c>
      <c r="E1072" s="0" t="inlineStr">
        <is>
          <t>IOWA COLIN M BLACK 12 PACK:113397Z-12PK</t>
        </is>
      </c>
      <c r="F1072" s="2">
        <v>800113397994</v>
      </c>
      <c r="G1072" s="0" t="inlineStr">
        <is>
          <t>MENS</t>
        </is>
      </c>
      <c r="H1072" s="0" t="inlineStr">
        <is>
          <t>12 PACK</t>
        </is>
      </c>
      <c r="I1072" s="0">
        <v>966</v>
      </c>
      <c r="J1072" s="0">
        <v>0</v>
      </c>
    </row>
    <row r="1073" spans="1:10" customHeight="0">
      <c r="A1073" s="0">
        <f>HYPERLINK("https://dl.dropboxusercontent.com/scl/fi/5hhou48u649nfndrd59tk/121134-f.jpg?rlkey=zifg00dcrtitn0zcnvhmxh7gg&amp;dl=0","Click to download Image")</f>
      </c>
      <c r="B1073" s="0">
        <f>HYPERLINK("https://dl.dropboxusercontent.com/scl/fi/fiupbeiu6wis9td6r1kmg/graphic-update2022-womens.jpg?rlkey=kocwvik2xmai70mkrb1igu41b&amp;dl=0","Click to download SizeChart")</f>
      </c>
      <c r="C1073" s="0" t="inlineStr">
        <is>
          <t>Donna Womens T-shirt</t>
        </is>
      </c>
      <c r="D1073" s="1">
        <v>121134</v>
      </c>
      <c r="E1073" s="0" t="inlineStr">
        <is>
          <t>IOWA DONNA W BLACK:121134A-S</t>
        </is>
      </c>
      <c r="F1073" s="2">
        <v>800121134048</v>
      </c>
      <c r="G1073" s="0" t="inlineStr">
        <is>
          <t>WOMENS</t>
        </is>
      </c>
      <c r="H1073" s="0" t="inlineStr">
        <is>
          <t>S</t>
        </is>
      </c>
      <c r="I1073" s="0">
        <v>24.99</v>
      </c>
      <c r="J1073" s="0">
        <v>0</v>
      </c>
    </row>
    <row r="1074" spans="1:10" customHeight="0">
      <c r="A1074" s="0">
        <f>HYPERLINK("https://dl.dropboxusercontent.com/scl/fi/5hhou48u649nfndrd59tk/121134-f.jpg?rlkey=zifg00dcrtitn0zcnvhmxh7gg&amp;dl=0","Click to download Image")</f>
      </c>
      <c r="B1074" s="0">
        <f>HYPERLINK("https://dl.dropboxusercontent.com/scl/fi/fiupbeiu6wis9td6r1kmg/graphic-update2022-womens.jpg?rlkey=kocwvik2xmai70mkrb1igu41b&amp;dl=0","Click to download SizeChart")</f>
      </c>
      <c r="C1074" s="0" t="inlineStr">
        <is>
          <t>Donna Womens T-shirt</t>
        </is>
      </c>
      <c r="D1074" s="1">
        <v>121134</v>
      </c>
      <c r="E1074" s="0" t="inlineStr">
        <is>
          <t>IOWA DONNA W BLACK:121134B-M</t>
        </is>
      </c>
      <c r="F1074" s="2">
        <v>800121134055</v>
      </c>
      <c r="G1074" s="0" t="inlineStr">
        <is>
          <t>WOMENS</t>
        </is>
      </c>
      <c r="H1074" s="0" t="inlineStr">
        <is>
          <t>M</t>
        </is>
      </c>
      <c r="I1074" s="0">
        <v>24.99</v>
      </c>
      <c r="J1074" s="0">
        <v>0</v>
      </c>
    </row>
    <row r="1075" spans="1:10" customHeight="0">
      <c r="A1075" s="0">
        <f>HYPERLINK("https://dl.dropboxusercontent.com/scl/fi/5hhou48u649nfndrd59tk/121134-f.jpg?rlkey=zifg00dcrtitn0zcnvhmxh7gg&amp;dl=0","Click to download Image")</f>
      </c>
      <c r="B1075" s="0">
        <f>HYPERLINK("https://dl.dropboxusercontent.com/scl/fi/fiupbeiu6wis9td6r1kmg/graphic-update2022-womens.jpg?rlkey=kocwvik2xmai70mkrb1igu41b&amp;dl=0","Click to download SizeChart")</f>
      </c>
      <c r="C1075" s="0" t="inlineStr">
        <is>
          <t>Donna Womens T-shirt</t>
        </is>
      </c>
      <c r="D1075" s="1">
        <v>121134</v>
      </c>
      <c r="E1075" s="0" t="inlineStr">
        <is>
          <t>IOWA DONNA W BLACK:121134C-L</t>
        </is>
      </c>
      <c r="F1075" s="2">
        <v>800121134062</v>
      </c>
      <c r="G1075" s="0" t="inlineStr">
        <is>
          <t>WOMENS</t>
        </is>
      </c>
      <c r="H1075" s="0" t="inlineStr">
        <is>
          <t>L</t>
        </is>
      </c>
      <c r="I1075" s="0">
        <v>24.99</v>
      </c>
      <c r="J1075" s="0">
        <v>0</v>
      </c>
    </row>
    <row r="1076" spans="1:10" customHeight="0">
      <c r="A1076" s="0">
        <f>HYPERLINK("https://dl.dropboxusercontent.com/scl/fi/5hhou48u649nfndrd59tk/121134-f.jpg?rlkey=zifg00dcrtitn0zcnvhmxh7gg&amp;dl=0","Click to download Image")</f>
      </c>
      <c r="B1076" s="0">
        <f>HYPERLINK("https://dl.dropboxusercontent.com/scl/fi/fiupbeiu6wis9td6r1kmg/graphic-update2022-womens.jpg?rlkey=kocwvik2xmai70mkrb1igu41b&amp;dl=0","Click to download SizeChart")</f>
      </c>
      <c r="C1076" s="0" t="inlineStr">
        <is>
          <t>Donna Womens T-shirt</t>
        </is>
      </c>
      <c r="D1076" s="1">
        <v>121134</v>
      </c>
      <c r="E1076" s="0" t="inlineStr">
        <is>
          <t>IOWA DONNA W BLACK:121134D-XL</t>
        </is>
      </c>
      <c r="F1076" s="2">
        <v>800121134079</v>
      </c>
      <c r="G1076" s="0" t="inlineStr">
        <is>
          <t>WOMENS</t>
        </is>
      </c>
      <c r="H1076" s="0" t="inlineStr">
        <is>
          <t>XL</t>
        </is>
      </c>
      <c r="I1076" s="0">
        <v>24.99</v>
      </c>
      <c r="J1076" s="0">
        <v>0</v>
      </c>
    </row>
    <row r="1077" spans="1:10" customHeight="0">
      <c r="A1077" s="0">
        <f>HYPERLINK("https://dl.dropboxusercontent.com/scl/fi/5hhou48u649nfndrd59tk/121134-f.jpg?rlkey=zifg00dcrtitn0zcnvhmxh7gg&amp;dl=0","Click to download Image")</f>
      </c>
      <c r="B1077" s="0">
        <f>HYPERLINK("https://dl.dropboxusercontent.com/scl/fi/fiupbeiu6wis9td6r1kmg/graphic-update2022-womens.jpg?rlkey=kocwvik2xmai70mkrb1igu41b&amp;dl=0","Click to download SizeChart")</f>
      </c>
      <c r="C1077" s="0" t="inlineStr">
        <is>
          <t>Donna Womens T-shirt</t>
        </is>
      </c>
      <c r="D1077" s="1">
        <v>121134</v>
      </c>
      <c r="E1077" s="0" t="inlineStr">
        <is>
          <t>IOWA DONNA W BLACK:121134E-2XL</t>
        </is>
      </c>
      <c r="F1077" s="2">
        <v>800121134086</v>
      </c>
      <c r="G1077" s="0" t="inlineStr">
        <is>
          <t>WOMENS</t>
        </is>
      </c>
      <c r="H1077" s="0" t="inlineStr">
        <is>
          <t>2XL</t>
        </is>
      </c>
      <c r="I1077" s="0">
        <v>24.99</v>
      </c>
      <c r="J1077" s="0">
        <v>0</v>
      </c>
    </row>
    <row r="1078" spans="1:10" customHeight="0">
      <c r="A1078" s="0">
        <f>HYPERLINK("https://dl.dropboxusercontent.com/scl/fi/5hhou48u649nfndrd59tk/121134-f.jpg?rlkey=zifg00dcrtitn0zcnvhmxh7gg&amp;dl=0","Click to download Image")</f>
      </c>
      <c r="B1078" s="0">
        <f>HYPERLINK("https://dl.dropboxusercontent.com/scl/fi/fiupbeiu6wis9td6r1kmg/graphic-update2022-womens.jpg?rlkey=kocwvik2xmai70mkrb1igu41b&amp;dl=0","Click to download SizeChart")</f>
      </c>
      <c r="C1078" s="0" t="inlineStr">
        <is>
          <t>Donna Womens T-shirt</t>
        </is>
      </c>
      <c r="D1078" s="1">
        <v>121134</v>
      </c>
      <c r="E1078" s="0" t="inlineStr">
        <is>
          <t>IOWA DONNA W BLACK:121134F-3XL</t>
        </is>
      </c>
      <c r="F1078" s="2">
        <v>800121134093</v>
      </c>
      <c r="G1078" s="0" t="inlineStr">
        <is>
          <t>WOMENS</t>
        </is>
      </c>
      <c r="H1078" s="0" t="inlineStr">
        <is>
          <t>3XL</t>
        </is>
      </c>
      <c r="I1078" s="0">
        <v>24.99</v>
      </c>
      <c r="J1078" s="0">
        <v>4</v>
      </c>
    </row>
    <row r="1079" spans="1:10" customHeight="0">
      <c r="A1079" s="0">
        <f>HYPERLINK("https://dl.dropboxusercontent.com/scl/fi/5hhou48u649nfndrd59tk/121134-f.jpg?rlkey=zifg00dcrtitn0zcnvhmxh7gg&amp;dl=0","Click to download Image")</f>
      </c>
      <c r="B1079" s="0">
        <f>HYPERLINK("https://dl.dropboxusercontent.com/scl/fi/fiupbeiu6wis9td6r1kmg/graphic-update2022-womens.jpg?rlkey=kocwvik2xmai70mkrb1igu41b&amp;dl=0","Click to download SizeChart")</f>
      </c>
      <c r="C1079" s="0" t="inlineStr">
        <is>
          <t>Donna Womens T-shirt</t>
        </is>
      </c>
      <c r="D1079" s="1">
        <v>121134</v>
      </c>
      <c r="E1079" s="0" t="inlineStr">
        <is>
          <t>IOWA DONNA W BLACK 12 PACK:121134Z-12PK</t>
        </is>
      </c>
      <c r="F1079" s="2">
        <v>800121134994</v>
      </c>
      <c r="G1079" s="0" t="inlineStr">
        <is>
          <t>WOMENS</t>
        </is>
      </c>
      <c r="H1079" s="0" t="inlineStr">
        <is>
          <t>12 PACK</t>
        </is>
      </c>
      <c r="I1079" s="0">
        <v>240</v>
      </c>
      <c r="J1079" s="0">
        <v>0</v>
      </c>
    </row>
    <row r="1080" spans="1:10" customHeight="0">
      <c r="A1080" s="0">
        <f>HYPERLINK("https://dl.dropboxusercontent.com/scl/fi/o7605z38j1vxsy7eyi8fs/117546-f.jpg?rlkey=ebv4ud1svkshyqxy7gvbu14fg&amp;dl=0","Click to download Image")</f>
      </c>
      <c r="B1080" s="0">
        <f>HYPERLINK("https://dl.dropboxusercontent.com/scl/fi/10ohpg5zqhl0lvtxiymkq/mens-jackets-size-chartsjaxtyn.jpg?rlkey=kruqshwpiwb4w1px9xras9q2v&amp;dl=0","Click to download SizeChart")</f>
      </c>
      <c r="C1080" s="0" t="inlineStr">
        <is>
          <t>Jaxtyn Men's Jacket</t>
        </is>
      </c>
      <c r="D1080" s="1">
        <v>117546</v>
      </c>
      <c r="E1080" s="0" t="inlineStr">
        <is>
          <t>IOWA JAXTYN M BLACK:117546A-S</t>
        </is>
      </c>
      <c r="F1080" s="2">
        <v>800117546046</v>
      </c>
      <c r="G1080" s="0" t="inlineStr">
        <is>
          <t>MENS</t>
        </is>
      </c>
      <c r="H1080" s="0" t="inlineStr">
        <is>
          <t>S</t>
        </is>
      </c>
      <c r="I1080" s="0">
        <v>82.99</v>
      </c>
      <c r="J1080" s="0">
        <v>0</v>
      </c>
    </row>
    <row r="1081" spans="1:10" customHeight="0">
      <c r="A1081" s="0">
        <f>HYPERLINK("https://dl.dropboxusercontent.com/scl/fi/o7605z38j1vxsy7eyi8fs/117546-f.jpg?rlkey=ebv4ud1svkshyqxy7gvbu14fg&amp;dl=0","Click to download Image")</f>
      </c>
      <c r="B1081" s="0">
        <f>HYPERLINK("https://dl.dropboxusercontent.com/scl/fi/10ohpg5zqhl0lvtxiymkq/mens-jackets-size-chartsjaxtyn.jpg?rlkey=kruqshwpiwb4w1px9xras9q2v&amp;dl=0","Click to download SizeChart")</f>
      </c>
      <c r="C1081" s="0" t="inlineStr">
        <is>
          <t>Jaxtyn Men's Jacket</t>
        </is>
      </c>
      <c r="D1081" s="1">
        <v>117546</v>
      </c>
      <c r="E1081" s="0" t="inlineStr">
        <is>
          <t>IOWA JAXTYN M BLACK:117546B-M</t>
        </is>
      </c>
      <c r="F1081" s="2">
        <v>800117546053</v>
      </c>
      <c r="G1081" s="0" t="inlineStr">
        <is>
          <t>MENS</t>
        </is>
      </c>
      <c r="H1081" s="0" t="inlineStr">
        <is>
          <t>M</t>
        </is>
      </c>
      <c r="I1081" s="0">
        <v>82.99</v>
      </c>
      <c r="J1081" s="0">
        <v>2</v>
      </c>
    </row>
    <row r="1082" spans="1:10" customHeight="0">
      <c r="A1082" s="0">
        <f>HYPERLINK("https://dl.dropboxusercontent.com/scl/fi/o7605z38j1vxsy7eyi8fs/117546-f.jpg?rlkey=ebv4ud1svkshyqxy7gvbu14fg&amp;dl=0","Click to download Image")</f>
      </c>
      <c r="B1082" s="0">
        <f>HYPERLINK("https://dl.dropboxusercontent.com/scl/fi/10ohpg5zqhl0lvtxiymkq/mens-jackets-size-chartsjaxtyn.jpg?rlkey=kruqshwpiwb4w1px9xras9q2v&amp;dl=0","Click to download SizeChart")</f>
      </c>
      <c r="C1082" s="0" t="inlineStr">
        <is>
          <t>Jaxtyn Men's Jacket</t>
        </is>
      </c>
      <c r="D1082" s="1">
        <v>117546</v>
      </c>
      <c r="E1082" s="0" t="inlineStr">
        <is>
          <t>IOWA JAXTYN M BLACK:117546C-L</t>
        </is>
      </c>
      <c r="F1082" s="2">
        <v>800117546060</v>
      </c>
      <c r="G1082" s="0" t="inlineStr">
        <is>
          <t>MENS</t>
        </is>
      </c>
      <c r="H1082" s="0" t="inlineStr">
        <is>
          <t>L</t>
        </is>
      </c>
      <c r="I1082" s="0">
        <v>82.99</v>
      </c>
      <c r="J1082" s="0">
        <v>2</v>
      </c>
    </row>
    <row r="1083" spans="1:10" customHeight="0">
      <c r="A1083" s="0">
        <f>HYPERLINK("https://dl.dropboxusercontent.com/scl/fi/o7605z38j1vxsy7eyi8fs/117546-f.jpg?rlkey=ebv4ud1svkshyqxy7gvbu14fg&amp;dl=0","Click to download Image")</f>
      </c>
      <c r="B1083" s="0">
        <f>HYPERLINK("https://dl.dropboxusercontent.com/scl/fi/10ohpg5zqhl0lvtxiymkq/mens-jackets-size-chartsjaxtyn.jpg?rlkey=kruqshwpiwb4w1px9xras9q2v&amp;dl=0","Click to download SizeChart")</f>
      </c>
      <c r="C1083" s="0" t="inlineStr">
        <is>
          <t>Jaxtyn Men's Jacket</t>
        </is>
      </c>
      <c r="D1083" s="1">
        <v>117546</v>
      </c>
      <c r="E1083" s="0" t="inlineStr">
        <is>
          <t>IOWA JAXTYN M BLACK:117546D-XL</t>
        </is>
      </c>
      <c r="F1083" s="2">
        <v>800117546077</v>
      </c>
      <c r="G1083" s="0" t="inlineStr">
        <is>
          <t>MENS</t>
        </is>
      </c>
      <c r="H1083" s="0" t="inlineStr">
        <is>
          <t>XL</t>
        </is>
      </c>
      <c r="I1083" s="0">
        <v>82.99</v>
      </c>
      <c r="J1083" s="0">
        <v>2</v>
      </c>
    </row>
    <row r="1084" spans="1:10" customHeight="0">
      <c r="A1084" s="0">
        <f>HYPERLINK("https://dl.dropboxusercontent.com/scl/fi/o7605z38j1vxsy7eyi8fs/117546-f.jpg?rlkey=ebv4ud1svkshyqxy7gvbu14fg&amp;dl=0","Click to download Image")</f>
      </c>
      <c r="B1084" s="0">
        <f>HYPERLINK("https://dl.dropboxusercontent.com/scl/fi/10ohpg5zqhl0lvtxiymkq/mens-jackets-size-chartsjaxtyn.jpg?rlkey=kruqshwpiwb4w1px9xras9q2v&amp;dl=0","Click to download SizeChart")</f>
      </c>
      <c r="C1084" s="0" t="inlineStr">
        <is>
          <t>Jaxtyn Men's Jacket</t>
        </is>
      </c>
      <c r="D1084" s="1">
        <v>117546</v>
      </c>
      <c r="E1084" s="0" t="inlineStr">
        <is>
          <t>IOWA JAXTYN M BLACK:117546E-2XL</t>
        </is>
      </c>
      <c r="F1084" s="2">
        <v>800117546084</v>
      </c>
      <c r="G1084" s="0" t="inlineStr">
        <is>
          <t>MENS</t>
        </is>
      </c>
      <c r="H1084" s="0" t="inlineStr">
        <is>
          <t>2XL</t>
        </is>
      </c>
      <c r="I1084" s="0">
        <v>82.99</v>
      </c>
      <c r="J1084" s="0">
        <v>2</v>
      </c>
    </row>
    <row r="1085" spans="1:10" customHeight="0">
      <c r="A1085" s="0">
        <f>HYPERLINK("https://dl.dropboxusercontent.com/scl/fi/o7605z38j1vxsy7eyi8fs/117546-f.jpg?rlkey=ebv4ud1svkshyqxy7gvbu14fg&amp;dl=0","Click to download Image")</f>
      </c>
      <c r="B1085" s="0">
        <f>HYPERLINK("https://dl.dropboxusercontent.com/scl/fi/10ohpg5zqhl0lvtxiymkq/mens-jackets-size-chartsjaxtyn.jpg?rlkey=kruqshwpiwb4w1px9xras9q2v&amp;dl=0","Click to download SizeChart")</f>
      </c>
      <c r="C1085" s="0" t="inlineStr">
        <is>
          <t>Jaxtyn Men's Jacket</t>
        </is>
      </c>
      <c r="D1085" s="1">
        <v>117546</v>
      </c>
      <c r="E1085" s="0" t="inlineStr">
        <is>
          <t>IOWA JAXTYN M BLACK:117546F-3XL</t>
        </is>
      </c>
      <c r="F1085" s="2">
        <v>800117546091</v>
      </c>
      <c r="G1085" s="0" t="inlineStr">
        <is>
          <t>MENS</t>
        </is>
      </c>
      <c r="H1085" s="0" t="inlineStr">
        <is>
          <t>3XL</t>
        </is>
      </c>
      <c r="I1085" s="0">
        <v>82.99</v>
      </c>
      <c r="J1085" s="0">
        <v>1</v>
      </c>
    </row>
    <row r="1086" spans="1:10" customHeight="0">
      <c r="A1086" s="0">
        <f>HYPERLINK("https://dl.dropboxusercontent.com/scl/fi/o7605z38j1vxsy7eyi8fs/117546-f.jpg?rlkey=ebv4ud1svkshyqxy7gvbu14fg&amp;dl=0","Click to download Image")</f>
      </c>
      <c r="B1086" s="0">
        <f>HYPERLINK("https://dl.dropboxusercontent.com/scl/fi/10ohpg5zqhl0lvtxiymkq/mens-jackets-size-chartsjaxtyn.jpg?rlkey=kruqshwpiwb4w1px9xras9q2v&amp;dl=0","Click to download SizeChart")</f>
      </c>
      <c r="C1086" s="0" t="inlineStr">
        <is>
          <t>Jaxtyn Men's Jacket</t>
        </is>
      </c>
      <c r="D1086" s="1">
        <v>117546</v>
      </c>
      <c r="E1086" s="0" t="inlineStr">
        <is>
          <t>IOWA JAXTYN M BLACK 12 PACK:117546Z-12PK</t>
        </is>
      </c>
      <c r="F1086" s="2">
        <v>800117546992</v>
      </c>
      <c r="G1086" s="0" t="inlineStr">
        <is>
          <t>MENS</t>
        </is>
      </c>
      <c r="H1086" s="0" t="inlineStr">
        <is>
          <t>12 PACK</t>
        </is>
      </c>
      <c r="I1086" s="0">
        <v>774</v>
      </c>
      <c r="J1086" s="0">
        <v>0</v>
      </c>
    </row>
    <row r="1087" spans="1:10" customHeight="0">
      <c r="A1087" s="0">
        <f>HYPERLINK("https://dl.dropboxusercontent.com/scl/fi/fw1g39rs3kwje5nuz63d9/113285f.jpg?rlkey=7bgch1gv2mb4drwekkz228zu4&amp;dl=0","Click to download Image")</f>
      </c>
      <c r="C1087" s="0" t="inlineStr">
        <is>
          <t>Hampton Youth Polo</t>
        </is>
      </c>
      <c r="D1087" s="1">
        <v>113285</v>
      </c>
      <c r="E1087" s="0" t="inlineStr">
        <is>
          <t>IOWA HAMPTON Y WHITE:113285B-YS</t>
        </is>
      </c>
      <c r="F1087" s="2">
        <v>800113285017</v>
      </c>
      <c r="G1087" s="0" t="inlineStr">
        <is>
          <t>YOUTH</t>
        </is>
      </c>
      <c r="H1087" s="0" t="inlineStr">
        <is>
          <t>YS</t>
        </is>
      </c>
      <c r="I1087" s="0">
        <v>39.99</v>
      </c>
      <c r="J1087" s="0">
        <v>18</v>
      </c>
    </row>
    <row r="1088" spans="1:10" customHeight="0">
      <c r="A1088" s="0">
        <f>HYPERLINK("https://dl.dropboxusercontent.com/scl/fi/fw1g39rs3kwje5nuz63d9/113285f.jpg?rlkey=7bgch1gv2mb4drwekkz228zu4&amp;dl=0","Click to download Image")</f>
      </c>
      <c r="C1088" s="0" t="inlineStr">
        <is>
          <t>Hampton Youth Polo</t>
        </is>
      </c>
      <c r="D1088" s="1">
        <v>113285</v>
      </c>
      <c r="E1088" s="0" t="inlineStr">
        <is>
          <t>IOWA HAMPTON Y WHITE:113285C-YM</t>
        </is>
      </c>
      <c r="F1088" s="2">
        <v>800113285024</v>
      </c>
      <c r="G1088" s="0" t="inlineStr">
        <is>
          <t>YOUTH</t>
        </is>
      </c>
      <c r="H1088" s="0" t="inlineStr">
        <is>
          <t>YM</t>
        </is>
      </c>
      <c r="I1088" s="0">
        <v>39.99</v>
      </c>
      <c r="J1088" s="0">
        <v>14</v>
      </c>
    </row>
    <row r="1089" spans="1:10" customHeight="0">
      <c r="A1089" s="0">
        <f>HYPERLINK("https://dl.dropboxusercontent.com/scl/fi/fw1g39rs3kwje5nuz63d9/113285f.jpg?rlkey=7bgch1gv2mb4drwekkz228zu4&amp;dl=0","Click to download Image")</f>
      </c>
      <c r="C1089" s="0" t="inlineStr">
        <is>
          <t>Hampton Youth Polo</t>
        </is>
      </c>
      <c r="D1089" s="1">
        <v>113285</v>
      </c>
      <c r="E1089" s="0" t="inlineStr">
        <is>
          <t>IOWA HAMPTON Y WHITE:113285D-YL</t>
        </is>
      </c>
      <c r="F1089" s="2">
        <v>800113285031</v>
      </c>
      <c r="G1089" s="0" t="inlineStr">
        <is>
          <t>YOUTH</t>
        </is>
      </c>
      <c r="H1089" s="0" t="inlineStr">
        <is>
          <t>YL</t>
        </is>
      </c>
      <c r="I1089" s="0">
        <v>39.99</v>
      </c>
      <c r="J1089" s="0">
        <v>14</v>
      </c>
    </row>
    <row r="1090" spans="1:10" customHeight="0">
      <c r="A1090" s="0">
        <f>HYPERLINK("https://dl.dropboxusercontent.com/scl/fi/fw1g39rs3kwje5nuz63d9/113285f.jpg?rlkey=7bgch1gv2mb4drwekkz228zu4&amp;dl=0","Click to download Image")</f>
      </c>
      <c r="C1090" s="0" t="inlineStr">
        <is>
          <t>Hampton Youth Polo</t>
        </is>
      </c>
      <c r="D1090" s="1">
        <v>113285</v>
      </c>
      <c r="E1090" s="0" t="inlineStr">
        <is>
          <t>IOWA HAMPTON Y WHITE:113285E-YXL</t>
        </is>
      </c>
      <c r="F1090" s="2">
        <v>800113285048</v>
      </c>
      <c r="G1090" s="0" t="inlineStr">
        <is>
          <t>YOUTH</t>
        </is>
      </c>
      <c r="H1090" s="0" t="inlineStr">
        <is>
          <t>YXL</t>
        </is>
      </c>
      <c r="I1090" s="0">
        <v>39.99</v>
      </c>
      <c r="J1090" s="0">
        <v>20</v>
      </c>
    </row>
    <row r="1091" spans="1:10" customHeight="0">
      <c r="A1091" s="0">
        <f>HYPERLINK("https://dl.dropboxusercontent.com/scl/fi/fw1g39rs3kwje5nuz63d9/113285f.jpg?rlkey=7bgch1gv2mb4drwekkz228zu4&amp;dl=0","Click to download Image")</f>
      </c>
      <c r="C1091" s="0" t="inlineStr">
        <is>
          <t>Hampton Youth Polo</t>
        </is>
      </c>
      <c r="D1091" s="1">
        <v>113285</v>
      </c>
      <c r="E1091" s="0" t="inlineStr">
        <is>
          <t>IOWA HAMPTON Y WHITE 12 PACK:113285Z-12PK</t>
        </is>
      </c>
      <c r="F1091" s="2">
        <v>800113285994</v>
      </c>
      <c r="G1091" s="0" t="inlineStr">
        <is>
          <t>YOUTH</t>
        </is>
      </c>
      <c r="H1091" s="0" t="inlineStr">
        <is>
          <t>12 PACK</t>
        </is>
      </c>
      <c r="I1091" s="0">
        <v>390</v>
      </c>
      <c r="J1091" s="0">
        <v>0</v>
      </c>
    </row>
    <row r="1092" spans="1:10" customHeight="0">
      <c r="A1092" s="0">
        <f>HYPERLINK("https://dl.dropboxusercontent.com/scl/fi/85ppt1mm73d6vp8dr5a67/rallytowel154968f14719.jpg?rlkey=ovl9m5hpg8j1apev3k9sovuno&amp;dl=0","Click to download Image")</f>
      </c>
      <c r="C1092" s="0" t="inlineStr">
        <is>
          <t>Rally Towel Iowa</t>
        </is>
      </c>
      <c r="D1092" s="1">
        <v>154968</v>
      </c>
      <c r="E1092" s="0" t="inlineStr">
        <is>
          <t>IOWA TOWEL CH:154968</t>
        </is>
      </c>
      <c r="F1092" s="2">
        <v>900154968013</v>
      </c>
      <c r="I1092" s="0">
        <v>8.99</v>
      </c>
      <c r="J1092" s="0">
        <v>542</v>
      </c>
    </row>
    <row r="1093" spans="1:10" customHeight="0">
      <c r="A1093" s="0">
        <f>HYPERLINK("https://dl.dropboxusercontent.com/scl/fi/99xj34yrqlbocq1jpxzlu/vrtl-iowa-titus-gd-y-v1f.jpg?rlkey=4rra7hgyd11ku8i5ec54fy2nl&amp;dl=0","Click to download Image")</f>
      </c>
      <c r="C1093" s="0" t="inlineStr">
        <is>
          <t>Titus Youth Long Sleeve</t>
        </is>
      </c>
      <c r="D1093" s="1">
        <v>155525</v>
      </c>
      <c r="E1093" s="0" t="inlineStr">
        <is>
          <t>IOWA TITUS Y GD:155525B-YS</t>
        </is>
      </c>
      <c r="F1093" s="2">
        <v>800155525010</v>
      </c>
      <c r="G1093" s="0" t="inlineStr">
        <is>
          <t>YOUTH</t>
        </is>
      </c>
      <c r="H1093" s="0" t="inlineStr">
        <is>
          <t>YS</t>
        </is>
      </c>
      <c r="I1093" s="0">
        <v>29.99</v>
      </c>
      <c r="J1093" s="0">
        <v>9</v>
      </c>
    </row>
    <row r="1094" spans="1:10" customHeight="0">
      <c r="A1094" s="0">
        <f>HYPERLINK("https://dl.dropboxusercontent.com/scl/fi/99xj34yrqlbocq1jpxzlu/vrtl-iowa-titus-gd-y-v1f.jpg?rlkey=4rra7hgyd11ku8i5ec54fy2nl&amp;dl=0","Click to download Image")</f>
      </c>
      <c r="C1094" s="0" t="inlineStr">
        <is>
          <t>Titus Youth Long Sleeve</t>
        </is>
      </c>
      <c r="D1094" s="1">
        <v>155525</v>
      </c>
      <c r="E1094" s="0" t="inlineStr">
        <is>
          <t>IOWA TITUS Y GD:155525C-YM</t>
        </is>
      </c>
      <c r="F1094" s="2">
        <v>800155525027</v>
      </c>
      <c r="G1094" s="0" t="inlineStr">
        <is>
          <t>YOUTH</t>
        </is>
      </c>
      <c r="H1094" s="0" t="inlineStr">
        <is>
          <t>YM</t>
        </is>
      </c>
      <c r="I1094" s="0">
        <v>29.99</v>
      </c>
      <c r="J1094" s="0">
        <v>8</v>
      </c>
    </row>
    <row r="1095" spans="1:10" customHeight="0">
      <c r="A1095" s="0">
        <f>HYPERLINK("https://dl.dropboxusercontent.com/scl/fi/99xj34yrqlbocq1jpxzlu/vrtl-iowa-titus-gd-y-v1f.jpg?rlkey=4rra7hgyd11ku8i5ec54fy2nl&amp;dl=0","Click to download Image")</f>
      </c>
      <c r="C1095" s="0" t="inlineStr">
        <is>
          <t>Titus Youth Long Sleeve</t>
        </is>
      </c>
      <c r="D1095" s="1">
        <v>155525</v>
      </c>
      <c r="E1095" s="0" t="inlineStr">
        <is>
          <t>IOWA TITUS Y GD:155525D-YL</t>
        </is>
      </c>
      <c r="F1095" s="2">
        <v>800155525034</v>
      </c>
      <c r="G1095" s="0" t="inlineStr">
        <is>
          <t>YOUTH</t>
        </is>
      </c>
      <c r="H1095" s="0" t="inlineStr">
        <is>
          <t>YL</t>
        </is>
      </c>
      <c r="I1095" s="0">
        <v>29.99</v>
      </c>
      <c r="J1095" s="0">
        <v>8</v>
      </c>
    </row>
    <row r="1096" spans="1:10" customHeight="0">
      <c r="A1096" s="0">
        <f>HYPERLINK("https://dl.dropboxusercontent.com/scl/fi/99xj34yrqlbocq1jpxzlu/vrtl-iowa-titus-gd-y-v1f.jpg?rlkey=4rra7hgyd11ku8i5ec54fy2nl&amp;dl=0","Click to download Image")</f>
      </c>
      <c r="C1096" s="0" t="inlineStr">
        <is>
          <t>Titus Youth Long Sleeve</t>
        </is>
      </c>
      <c r="D1096" s="1">
        <v>155525</v>
      </c>
      <c r="E1096" s="0" t="inlineStr">
        <is>
          <t>IOWA TITUS Y GD:155525E-YXL</t>
        </is>
      </c>
      <c r="F1096" s="2">
        <v>800155525041</v>
      </c>
      <c r="G1096" s="0" t="inlineStr">
        <is>
          <t>YOUTH</t>
        </is>
      </c>
      <c r="H1096" s="0" t="inlineStr">
        <is>
          <t>YXL</t>
        </is>
      </c>
      <c r="I1096" s="0">
        <v>29.99</v>
      </c>
      <c r="J1096" s="0">
        <v>9</v>
      </c>
    </row>
    <row r="1097" spans="1:10" customHeight="0">
      <c r="A1097" s="0">
        <f>HYPERLINK("https://dl.dropboxusercontent.com/scl/fi/9ny6vxltz7fuyvmdvssfz/ball.jpg?rlkey=in9fvc82yr6pjxv7c5dpjkmh8&amp;dl=0","Click to download Image")</f>
      </c>
      <c r="C1097" s="0" t="inlineStr">
        <is>
          <t>Autograph Football</t>
        </is>
      </c>
      <c r="D1097" s="1">
        <v>153842</v>
      </c>
      <c r="E1097" s="0" t="inlineStr">
        <is>
          <t>IOWA A FBALL WE:153842</t>
        </is>
      </c>
      <c r="F1097" s="2">
        <v>900153842017</v>
      </c>
      <c r="I1097" s="0">
        <v>49.99</v>
      </c>
      <c r="J1097" s="0">
        <v>177</v>
      </c>
    </row>
    <row r="1098" spans="1:10" customHeight="0">
      <c r="A1098" s="0">
        <f>HYPERLINK("https://dl.dropboxusercontent.com/scl/fi/nc2jn4ad7yy5pu6b05qdx/autograph-basketball-154128-f.jpg?rlkey=g3ptz2oyty4h6jw6wlopzysyi&amp;dl=0","Click to download Image")</f>
      </c>
      <c r="C1098" s="0" t="inlineStr">
        <is>
          <t>Autograph Basketball</t>
        </is>
      </c>
      <c r="D1098" s="1">
        <v>154128</v>
      </c>
      <c r="E1098" s="0" t="inlineStr">
        <is>
          <t>IOWA A BBALL WE:154128</t>
        </is>
      </c>
      <c r="F1098" s="2">
        <v>900154128011</v>
      </c>
      <c r="I1098" s="0">
        <v>49.99</v>
      </c>
      <c r="J1098" s="0">
        <v>195</v>
      </c>
    </row>
    <row r="1099" spans="1:10" customHeight="0">
      <c r="A1099" s="0">
        <f>HYPERLINK("https://dl.dropboxusercontent.com/scl/fi/a88jmmwuawf8fyx00d51h/maddox-153415-tn.jpg?rlkey=6xsv41rc68rx0wnzv24mwk565&amp;dl=0","Click to download Image")</f>
      </c>
      <c r="C1099" s="0" t="inlineStr">
        <is>
          <t>Maddox Men's Vintage Cap</t>
        </is>
      </c>
      <c r="D1099" s="1">
        <v>153415</v>
      </c>
      <c r="E1099" s="0" t="inlineStr">
        <is>
          <t>IOWA MADDOX M WE:153415</t>
        </is>
      </c>
      <c r="F1099" s="2">
        <v>700153415002</v>
      </c>
      <c r="G1099" s="0" t="inlineStr">
        <is>
          <t>MENS</t>
        </is>
      </c>
      <c r="H1099" s="0" t="inlineStr">
        <is>
          <t>STANDARD MENS</t>
        </is>
      </c>
      <c r="I1099" s="0">
        <v>29.99</v>
      </c>
      <c r="J1099" s="0">
        <v>84</v>
      </c>
    </row>
    <row r="1100" spans="1:10" customHeight="0">
      <c r="A1100" s="0">
        <f>HYPERLINK("https://dl.dropboxusercontent.com/scl/fi/0ekjm5ytpjyvhppoc5mon/hawkin-154866-tn.jpg?rlkey=flq2w01wkwghyte0uvadr2m6i&amp;dl=0","Click to download Image")</f>
      </c>
      <c r="B1100" s="0">
        <f>HYPERLINK("https://dl.dropboxusercontent.com/scl/fi/u5z069a0m95cxxgsgyr64/mens-pullover-size-chartshawkin.jpg?rlkey=9ikzk4419p8hsiza9kkb7zgim&amp;dl=0","Click to download SizeChart")</f>
      </c>
      <c r="C1100" s="0" t="inlineStr">
        <is>
          <t>Hawkin Men's Quarter Snap Pullover</t>
        </is>
      </c>
      <c r="D1100" s="1">
        <v>154866</v>
      </c>
      <c r="E1100" s="0" t="inlineStr">
        <is>
          <t>IOWA HAWKIN M BK:154866A-S</t>
        </is>
      </c>
      <c r="F1100" s="2">
        <v>800154866046</v>
      </c>
      <c r="G1100" s="0" t="inlineStr">
        <is>
          <t>MENS</t>
        </is>
      </c>
      <c r="H1100" s="0" t="inlineStr">
        <is>
          <t>S</t>
        </is>
      </c>
      <c r="I1100" s="0">
        <v>64.99</v>
      </c>
      <c r="J1100" s="0">
        <v>8</v>
      </c>
    </row>
    <row r="1101" spans="1:10" customHeight="0">
      <c r="A1101" s="0">
        <f>HYPERLINK("https://dl.dropboxusercontent.com/scl/fi/0ekjm5ytpjyvhppoc5mon/hawkin-154866-tn.jpg?rlkey=flq2w01wkwghyte0uvadr2m6i&amp;dl=0","Click to download Image")</f>
      </c>
      <c r="B1101" s="0">
        <f>HYPERLINK("https://dl.dropboxusercontent.com/scl/fi/u5z069a0m95cxxgsgyr64/mens-pullover-size-chartshawkin.jpg?rlkey=9ikzk4419p8hsiza9kkb7zgim&amp;dl=0","Click to download SizeChart")</f>
      </c>
      <c r="C1101" s="0" t="inlineStr">
        <is>
          <t>Hawkin Men's Quarter Snap Pullover</t>
        </is>
      </c>
      <c r="D1101" s="1">
        <v>154866</v>
      </c>
      <c r="E1101" s="0" t="inlineStr">
        <is>
          <t>IOWA HAWKIN M BK:154866B-M</t>
        </is>
      </c>
      <c r="F1101" s="2">
        <v>800154866053</v>
      </c>
      <c r="G1101" s="0" t="inlineStr">
        <is>
          <t>MENS</t>
        </is>
      </c>
      <c r="H1101" s="0" t="inlineStr">
        <is>
          <t>M</t>
        </is>
      </c>
      <c r="I1101" s="0">
        <v>64.99</v>
      </c>
      <c r="J1101" s="0">
        <v>18</v>
      </c>
    </row>
    <row r="1102" spans="1:10" customHeight="0">
      <c r="A1102" s="0">
        <f>HYPERLINK("https://dl.dropboxusercontent.com/scl/fi/0ekjm5ytpjyvhppoc5mon/hawkin-154866-tn.jpg?rlkey=flq2w01wkwghyte0uvadr2m6i&amp;dl=0","Click to download Image")</f>
      </c>
      <c r="B1102" s="0">
        <f>HYPERLINK("https://dl.dropboxusercontent.com/scl/fi/u5z069a0m95cxxgsgyr64/mens-pullover-size-chartshawkin.jpg?rlkey=9ikzk4419p8hsiza9kkb7zgim&amp;dl=0","Click to download SizeChart")</f>
      </c>
      <c r="C1102" s="0" t="inlineStr">
        <is>
          <t>Hawkin Men's Quarter Snap Pullover</t>
        </is>
      </c>
      <c r="D1102" s="1">
        <v>154866</v>
      </c>
      <c r="E1102" s="0" t="inlineStr">
        <is>
          <t>IOWA HAWKIN M BK:154866C-L</t>
        </is>
      </c>
      <c r="F1102" s="2">
        <v>800154866060</v>
      </c>
      <c r="G1102" s="0" t="inlineStr">
        <is>
          <t>MENS</t>
        </is>
      </c>
      <c r="H1102" s="0" t="inlineStr">
        <is>
          <t>L</t>
        </is>
      </c>
      <c r="I1102" s="0">
        <v>64.99</v>
      </c>
      <c r="J1102" s="0">
        <v>19</v>
      </c>
    </row>
    <row r="1103" spans="1:10" customHeight="0">
      <c r="A1103" s="0">
        <f>HYPERLINK("https://dl.dropboxusercontent.com/scl/fi/0ekjm5ytpjyvhppoc5mon/hawkin-154866-tn.jpg?rlkey=flq2w01wkwghyte0uvadr2m6i&amp;dl=0","Click to download Image")</f>
      </c>
      <c r="B1103" s="0">
        <f>HYPERLINK("https://dl.dropboxusercontent.com/scl/fi/u5z069a0m95cxxgsgyr64/mens-pullover-size-chartshawkin.jpg?rlkey=9ikzk4419p8hsiza9kkb7zgim&amp;dl=0","Click to download SizeChart")</f>
      </c>
      <c r="C1103" s="0" t="inlineStr">
        <is>
          <t>Hawkin Men's Quarter Snap Pullover</t>
        </is>
      </c>
      <c r="D1103" s="1">
        <v>154866</v>
      </c>
      <c r="E1103" s="0" t="inlineStr">
        <is>
          <t>IOWA HAWKIN M BK:154866D-XL</t>
        </is>
      </c>
      <c r="F1103" s="2">
        <v>800154866077</v>
      </c>
      <c r="G1103" s="0" t="inlineStr">
        <is>
          <t>MENS</t>
        </is>
      </c>
      <c r="H1103" s="0" t="inlineStr">
        <is>
          <t>XL</t>
        </is>
      </c>
      <c r="I1103" s="0">
        <v>64.99</v>
      </c>
      <c r="J1103" s="0">
        <v>26</v>
      </c>
    </row>
    <row r="1104" spans="1:10" customHeight="0">
      <c r="A1104" s="0">
        <f>HYPERLINK("https://dl.dropboxusercontent.com/scl/fi/0ekjm5ytpjyvhppoc5mon/hawkin-154866-tn.jpg?rlkey=flq2w01wkwghyte0uvadr2m6i&amp;dl=0","Click to download Image")</f>
      </c>
      <c r="B1104" s="0">
        <f>HYPERLINK("https://dl.dropboxusercontent.com/scl/fi/u5z069a0m95cxxgsgyr64/mens-pullover-size-chartshawkin.jpg?rlkey=9ikzk4419p8hsiza9kkb7zgim&amp;dl=0","Click to download SizeChart")</f>
      </c>
      <c r="C1104" s="0" t="inlineStr">
        <is>
          <t>Hawkin Men's Quarter Snap Pullover</t>
        </is>
      </c>
      <c r="D1104" s="1">
        <v>154866</v>
      </c>
      <c r="E1104" s="0" t="inlineStr">
        <is>
          <t>IOWA HAWKIN M BK:154866E-2XL</t>
        </is>
      </c>
      <c r="F1104" s="2">
        <v>800154866084</v>
      </c>
      <c r="G1104" s="0" t="inlineStr">
        <is>
          <t>MENS</t>
        </is>
      </c>
      <c r="H1104" s="0" t="inlineStr">
        <is>
          <t>2XL</t>
        </is>
      </c>
      <c r="I1104" s="0">
        <v>64.99</v>
      </c>
      <c r="J1104" s="0">
        <v>17</v>
      </c>
    </row>
    <row r="1105" spans="1:10" customHeight="0">
      <c r="A1105" s="0">
        <f>HYPERLINK("https://dl.dropboxusercontent.com/scl/fi/0ekjm5ytpjyvhppoc5mon/hawkin-154866-tn.jpg?rlkey=flq2w01wkwghyte0uvadr2m6i&amp;dl=0","Click to download Image")</f>
      </c>
      <c r="B1105" s="0">
        <f>HYPERLINK("https://dl.dropboxusercontent.com/scl/fi/u5z069a0m95cxxgsgyr64/mens-pullover-size-chartshawkin.jpg?rlkey=9ikzk4419p8hsiza9kkb7zgim&amp;dl=0","Click to download SizeChart")</f>
      </c>
      <c r="C1105" s="0" t="inlineStr">
        <is>
          <t>Hawkin Men's Quarter Snap Pullover</t>
        </is>
      </c>
      <c r="D1105" s="1">
        <v>154866</v>
      </c>
      <c r="E1105" s="0" t="inlineStr">
        <is>
          <t>IOWA HAWKIN M BK:154866F-3XL</t>
        </is>
      </c>
      <c r="F1105" s="2">
        <v>800154866091</v>
      </c>
      <c r="G1105" s="0" t="inlineStr">
        <is>
          <t>MENS</t>
        </is>
      </c>
      <c r="H1105" s="0" t="inlineStr">
        <is>
          <t>3XL</t>
        </is>
      </c>
      <c r="I1105" s="0">
        <v>64.99</v>
      </c>
      <c r="J1105" s="0">
        <v>8</v>
      </c>
    </row>
    <row r="1106" spans="1:10" customHeight="0">
      <c r="A1106" s="0">
        <f>HYPERLINK("https://dl.dropboxusercontent.com/scl/fi/9yoqubj638efe3okujw9i/quincy-150294-tn.jpg?rlkey=huguztpbwyi8vgiag4d4abo4d&amp;dl=0","Click to download Image")</f>
      </c>
      <c r="B1106" s="0">
        <f>HYPERLINK("https://dl.dropboxusercontent.com/scl/fi/51gmury5wrckwn7djcids/mens-hoodie-size-chartsquincy.jpg?rlkey=tm922dbv6ixj92v2406z4ng98&amp;dl=0","Click to download SizeChart")</f>
      </c>
      <c r="C1106" s="0" t="inlineStr">
        <is>
          <t>Quincy Men's Fleece Hoodie</t>
        </is>
      </c>
      <c r="D1106" s="1">
        <v>150294</v>
      </c>
      <c r="E1106" s="0" t="inlineStr">
        <is>
          <t>IOWA QUINCY M BK:150294A-S</t>
        </is>
      </c>
      <c r="F1106" s="2">
        <v>800150294041</v>
      </c>
      <c r="G1106" s="0" t="inlineStr">
        <is>
          <t>MENS</t>
        </is>
      </c>
      <c r="H1106" s="0" t="inlineStr">
        <is>
          <t>S</t>
        </is>
      </c>
      <c r="I1106" s="0">
        <v>59.99</v>
      </c>
      <c r="J1106" s="0">
        <v>31</v>
      </c>
    </row>
    <row r="1107" spans="1:10" customHeight="0">
      <c r="A1107" s="0">
        <f>HYPERLINK("https://dl.dropboxusercontent.com/scl/fi/9yoqubj638efe3okujw9i/quincy-150294-tn.jpg?rlkey=huguztpbwyi8vgiag4d4abo4d&amp;dl=0","Click to download Image")</f>
      </c>
      <c r="B1107" s="0">
        <f>HYPERLINK("https://dl.dropboxusercontent.com/scl/fi/51gmury5wrckwn7djcids/mens-hoodie-size-chartsquincy.jpg?rlkey=tm922dbv6ixj92v2406z4ng98&amp;dl=0","Click to download SizeChart")</f>
      </c>
      <c r="C1107" s="0" t="inlineStr">
        <is>
          <t>Quincy Men's Fleece Hoodie</t>
        </is>
      </c>
      <c r="D1107" s="1">
        <v>150294</v>
      </c>
      <c r="E1107" s="0" t="inlineStr">
        <is>
          <t>IOWA QUINCY M BK:150294B-M</t>
        </is>
      </c>
      <c r="F1107" s="2">
        <v>800150294058</v>
      </c>
      <c r="G1107" s="0" t="inlineStr">
        <is>
          <t>MENS</t>
        </is>
      </c>
      <c r="H1107" s="0" t="inlineStr">
        <is>
          <t>M</t>
        </is>
      </c>
      <c r="I1107" s="0">
        <v>59.99</v>
      </c>
      <c r="J1107" s="0">
        <v>67</v>
      </c>
    </row>
    <row r="1108" spans="1:10" customHeight="0">
      <c r="A1108" s="0">
        <f>HYPERLINK("https://dl.dropboxusercontent.com/scl/fi/9yoqubj638efe3okujw9i/quincy-150294-tn.jpg?rlkey=huguztpbwyi8vgiag4d4abo4d&amp;dl=0","Click to download Image")</f>
      </c>
      <c r="B1108" s="0">
        <f>HYPERLINK("https://dl.dropboxusercontent.com/scl/fi/51gmury5wrckwn7djcids/mens-hoodie-size-chartsquincy.jpg?rlkey=tm922dbv6ixj92v2406z4ng98&amp;dl=0","Click to download SizeChart")</f>
      </c>
      <c r="C1108" s="0" t="inlineStr">
        <is>
          <t>Quincy Men's Fleece Hoodie</t>
        </is>
      </c>
      <c r="D1108" s="1">
        <v>150294</v>
      </c>
      <c r="E1108" s="0" t="inlineStr">
        <is>
          <t>IOWA QUINCY M BK:150294C-L</t>
        </is>
      </c>
      <c r="F1108" s="2">
        <v>800150294065</v>
      </c>
      <c r="G1108" s="0" t="inlineStr">
        <is>
          <t>MENS</t>
        </is>
      </c>
      <c r="H1108" s="0" t="inlineStr">
        <is>
          <t>L</t>
        </is>
      </c>
      <c r="I1108" s="0">
        <v>59.99</v>
      </c>
      <c r="J1108" s="0">
        <v>102</v>
      </c>
    </row>
    <row r="1109" spans="1:10" customHeight="0">
      <c r="A1109" s="0">
        <f>HYPERLINK("https://dl.dropboxusercontent.com/scl/fi/9yoqubj638efe3okujw9i/quincy-150294-tn.jpg?rlkey=huguztpbwyi8vgiag4d4abo4d&amp;dl=0","Click to download Image")</f>
      </c>
      <c r="B1109" s="0">
        <f>HYPERLINK("https://dl.dropboxusercontent.com/scl/fi/51gmury5wrckwn7djcids/mens-hoodie-size-chartsquincy.jpg?rlkey=tm922dbv6ixj92v2406z4ng98&amp;dl=0","Click to download SizeChart")</f>
      </c>
      <c r="C1109" s="0" t="inlineStr">
        <is>
          <t>Quincy Men's Fleece Hoodie</t>
        </is>
      </c>
      <c r="D1109" s="1">
        <v>150294</v>
      </c>
      <c r="E1109" s="0" t="inlineStr">
        <is>
          <t>IOWA QUINCY M BK:150294D-XL</t>
        </is>
      </c>
      <c r="F1109" s="2">
        <v>800150294072</v>
      </c>
      <c r="G1109" s="0" t="inlineStr">
        <is>
          <t>MENS</t>
        </is>
      </c>
      <c r="H1109" s="0" t="inlineStr">
        <is>
          <t>XL</t>
        </is>
      </c>
      <c r="I1109" s="0">
        <v>59.99</v>
      </c>
      <c r="J1109" s="0">
        <v>96</v>
      </c>
    </row>
    <row r="1110" spans="1:10" customHeight="0">
      <c r="A1110" s="0">
        <f>HYPERLINK("https://dl.dropboxusercontent.com/scl/fi/9yoqubj638efe3okujw9i/quincy-150294-tn.jpg?rlkey=huguztpbwyi8vgiag4d4abo4d&amp;dl=0","Click to download Image")</f>
      </c>
      <c r="B1110" s="0">
        <f>HYPERLINK("https://dl.dropboxusercontent.com/scl/fi/51gmury5wrckwn7djcids/mens-hoodie-size-chartsquincy.jpg?rlkey=tm922dbv6ixj92v2406z4ng98&amp;dl=0","Click to download SizeChart")</f>
      </c>
      <c r="C1110" s="0" t="inlineStr">
        <is>
          <t>Quincy Men's Fleece Hoodie</t>
        </is>
      </c>
      <c r="D1110" s="1">
        <v>150294</v>
      </c>
      <c r="E1110" s="0" t="inlineStr">
        <is>
          <t>IOWA QUINCY M BK:150294E-2XL</t>
        </is>
      </c>
      <c r="F1110" s="2">
        <v>800150294089</v>
      </c>
      <c r="G1110" s="0" t="inlineStr">
        <is>
          <t>MENS</t>
        </is>
      </c>
      <c r="H1110" s="0" t="inlineStr">
        <is>
          <t>2XL</t>
        </is>
      </c>
      <c r="I1110" s="0">
        <v>61.99</v>
      </c>
      <c r="J1110" s="0">
        <v>73</v>
      </c>
    </row>
    <row r="1111" spans="1:10" customHeight="0">
      <c r="A1111" s="0">
        <f>HYPERLINK("https://dl.dropboxusercontent.com/scl/fi/9yoqubj638efe3okujw9i/quincy-150294-tn.jpg?rlkey=huguztpbwyi8vgiag4d4abo4d&amp;dl=0","Click to download Image")</f>
      </c>
      <c r="B1111" s="0">
        <f>HYPERLINK("https://dl.dropboxusercontent.com/scl/fi/51gmury5wrckwn7djcids/mens-hoodie-size-chartsquincy.jpg?rlkey=tm922dbv6ixj92v2406z4ng98&amp;dl=0","Click to download SizeChart")</f>
      </c>
      <c r="C1111" s="0" t="inlineStr">
        <is>
          <t>Quincy Men's Fleece Hoodie</t>
        </is>
      </c>
      <c r="D1111" s="1">
        <v>150294</v>
      </c>
      <c r="E1111" s="0" t="inlineStr">
        <is>
          <t>IOWA QUINCY M BK:150294F-3XL</t>
        </is>
      </c>
      <c r="F1111" s="2">
        <v>800150294096</v>
      </c>
      <c r="G1111" s="0" t="inlineStr">
        <is>
          <t>MENS</t>
        </is>
      </c>
      <c r="H1111" s="0" t="inlineStr">
        <is>
          <t>3XL</t>
        </is>
      </c>
      <c r="I1111" s="0">
        <v>61.99</v>
      </c>
      <c r="J1111" s="0">
        <v>40</v>
      </c>
    </row>
    <row r="1112" spans="1:10" customHeight="0">
      <c r="A1112" s="0">
        <f>HYPERLINK("https://dl.dropboxusercontent.com/scl/fi/9yoqubj638efe3okujw9i/quincy-150294-tn.jpg?rlkey=huguztpbwyi8vgiag4d4abo4d&amp;dl=0","Click to download Image")</f>
      </c>
      <c r="B1112" s="0">
        <f>HYPERLINK("https://dl.dropboxusercontent.com/scl/fi/51gmury5wrckwn7djcids/mens-hoodie-size-chartsquincy.jpg?rlkey=tm922dbv6ixj92v2406z4ng98&amp;dl=0","Click to download SizeChart")</f>
      </c>
      <c r="C1112" s="0" t="inlineStr">
        <is>
          <t>Quincy Men's Fleece Hoodie</t>
        </is>
      </c>
      <c r="D1112" s="1">
        <v>150294</v>
      </c>
      <c r="E1112" s="0" t="inlineStr">
        <is>
          <t>IOWA QUINCY M BK:150294Z-12PK</t>
        </is>
      </c>
      <c r="F1112" s="2">
        <v>800150294997</v>
      </c>
      <c r="G1112" s="0" t="inlineStr">
        <is>
          <t>MENS</t>
        </is>
      </c>
      <c r="H1112" s="0" t="inlineStr">
        <is>
          <t>12 PACK</t>
        </is>
      </c>
      <c r="I1112" s="0">
        <v>580.7</v>
      </c>
      <c r="J1112" s="0">
        <v>16</v>
      </c>
    </row>
    <row r="1113" spans="1:10" customHeight="0">
      <c r="A1113" s="0">
        <f>HYPERLINK("https://dl.dropboxusercontent.com/scl/fi/z0afvkm033jhbzygh76o9/editdsc009354949.jpg?rlkey=bd6t1xg6802uwt968ridfx3ku&amp;dl=0","Click to download Image")</f>
      </c>
      <c r="B1113" s="0">
        <f>HYPERLINK("https://dl.dropboxusercontent.com/scl/fi/qw2i8zqwc5aho6nsxnpz2/mens-hoodie-size-chartsspencer-holden.jpg?rlkey=ndvje3oq4z6di5zqkvxwts5r5&amp;dl=0","Click to download SizeChart")</f>
      </c>
      <c r="C1113" s="0" t="inlineStr">
        <is>
          <t>Spencer Heavyweight Men's Hoodie</t>
        </is>
      </c>
      <c r="D1113" s="1">
        <v>152380</v>
      </c>
      <c r="E1113" s="0" t="inlineStr">
        <is>
          <t>IOWA SPENCE M BK:152380A-S</t>
        </is>
      </c>
      <c r="F1113" s="2">
        <v>800152380049</v>
      </c>
      <c r="G1113" s="0" t="inlineStr">
        <is>
          <t>MENS</t>
        </is>
      </c>
      <c r="H1113" s="0" t="inlineStr">
        <is>
          <t>S</t>
        </is>
      </c>
      <c r="I1113" s="0">
        <v>59.99</v>
      </c>
      <c r="J1113" s="0">
        <v>8</v>
      </c>
    </row>
    <row r="1114" spans="1:10" customHeight="0">
      <c r="A1114" s="0">
        <f>HYPERLINK("https://dl.dropboxusercontent.com/scl/fi/z0afvkm033jhbzygh76o9/editdsc009354949.jpg?rlkey=bd6t1xg6802uwt968ridfx3ku&amp;dl=0","Click to download Image")</f>
      </c>
      <c r="B1114" s="0">
        <f>HYPERLINK("https://dl.dropboxusercontent.com/scl/fi/qw2i8zqwc5aho6nsxnpz2/mens-hoodie-size-chartsspencer-holden.jpg?rlkey=ndvje3oq4z6di5zqkvxwts5r5&amp;dl=0","Click to download SizeChart")</f>
      </c>
      <c r="C1114" s="0" t="inlineStr">
        <is>
          <t>Spencer Heavyweight Men's Hoodie</t>
        </is>
      </c>
      <c r="D1114" s="1">
        <v>152380</v>
      </c>
      <c r="E1114" s="0" t="inlineStr">
        <is>
          <t>IOWA SPENCE M BK:152380B-M</t>
        </is>
      </c>
      <c r="F1114" s="2">
        <v>800152380056</v>
      </c>
      <c r="G1114" s="0" t="inlineStr">
        <is>
          <t>MENS</t>
        </is>
      </c>
      <c r="H1114" s="0" t="inlineStr">
        <is>
          <t>M</t>
        </is>
      </c>
      <c r="I1114" s="0">
        <v>59.99</v>
      </c>
      <c r="J1114" s="0">
        <v>16</v>
      </c>
    </row>
    <row r="1115" spans="1:10" customHeight="0">
      <c r="A1115" s="0">
        <f>HYPERLINK("https://dl.dropboxusercontent.com/scl/fi/z0afvkm033jhbzygh76o9/editdsc009354949.jpg?rlkey=bd6t1xg6802uwt968ridfx3ku&amp;dl=0","Click to download Image")</f>
      </c>
      <c r="B1115" s="0">
        <f>HYPERLINK("https://dl.dropboxusercontent.com/scl/fi/qw2i8zqwc5aho6nsxnpz2/mens-hoodie-size-chartsspencer-holden.jpg?rlkey=ndvje3oq4z6di5zqkvxwts5r5&amp;dl=0","Click to download SizeChart")</f>
      </c>
      <c r="C1115" s="0" t="inlineStr">
        <is>
          <t>Spencer Heavyweight Men's Hoodie</t>
        </is>
      </c>
      <c r="D1115" s="1">
        <v>152380</v>
      </c>
      <c r="E1115" s="0" t="inlineStr">
        <is>
          <t>IOWA SPENCE M BK:152380C-L</t>
        </is>
      </c>
      <c r="F1115" s="2">
        <v>800152380063</v>
      </c>
      <c r="G1115" s="0" t="inlineStr">
        <is>
          <t>MENS</t>
        </is>
      </c>
      <c r="H1115" s="0" t="inlineStr">
        <is>
          <t>L</t>
        </is>
      </c>
      <c r="I1115" s="0">
        <v>59.99</v>
      </c>
      <c r="J1115" s="0">
        <v>15</v>
      </c>
    </row>
    <row r="1116" spans="1:10" customHeight="0">
      <c r="A1116" s="0">
        <f>HYPERLINK("https://dl.dropboxusercontent.com/scl/fi/z0afvkm033jhbzygh76o9/editdsc009354949.jpg?rlkey=bd6t1xg6802uwt968ridfx3ku&amp;dl=0","Click to download Image")</f>
      </c>
      <c r="B1116" s="0">
        <f>HYPERLINK("https://dl.dropboxusercontent.com/scl/fi/qw2i8zqwc5aho6nsxnpz2/mens-hoodie-size-chartsspencer-holden.jpg?rlkey=ndvje3oq4z6di5zqkvxwts5r5&amp;dl=0","Click to download SizeChart")</f>
      </c>
      <c r="C1116" s="0" t="inlineStr">
        <is>
          <t>Spencer Heavyweight Men's Hoodie</t>
        </is>
      </c>
      <c r="D1116" s="1">
        <v>152380</v>
      </c>
      <c r="E1116" s="0" t="inlineStr">
        <is>
          <t>IOWA SPENCE M BK:152380D-XL</t>
        </is>
      </c>
      <c r="F1116" s="2">
        <v>800152380070</v>
      </c>
      <c r="G1116" s="0" t="inlineStr">
        <is>
          <t>MENS</t>
        </is>
      </c>
      <c r="H1116" s="0" t="inlineStr">
        <is>
          <t>XL</t>
        </is>
      </c>
      <c r="I1116" s="0">
        <v>59.99</v>
      </c>
      <c r="J1116" s="0">
        <v>22</v>
      </c>
    </row>
    <row r="1117" spans="1:10" customHeight="0">
      <c r="A1117" s="0">
        <f>HYPERLINK("https://dl.dropboxusercontent.com/scl/fi/z0afvkm033jhbzygh76o9/editdsc009354949.jpg?rlkey=bd6t1xg6802uwt968ridfx3ku&amp;dl=0","Click to download Image")</f>
      </c>
      <c r="B1117" s="0">
        <f>HYPERLINK("https://dl.dropboxusercontent.com/scl/fi/qw2i8zqwc5aho6nsxnpz2/mens-hoodie-size-chartsspencer-holden.jpg?rlkey=ndvje3oq4z6di5zqkvxwts5r5&amp;dl=0","Click to download SizeChart")</f>
      </c>
      <c r="C1117" s="0" t="inlineStr">
        <is>
          <t>Spencer Heavyweight Men's Hoodie</t>
        </is>
      </c>
      <c r="D1117" s="1">
        <v>152380</v>
      </c>
      <c r="E1117" s="0" t="inlineStr">
        <is>
          <t>IOWA SPENCE M BK:152380E-2XL</t>
        </is>
      </c>
      <c r="F1117" s="2">
        <v>800152380087</v>
      </c>
      <c r="G1117" s="0" t="inlineStr">
        <is>
          <t>MENS</t>
        </is>
      </c>
      <c r="H1117" s="0" t="inlineStr">
        <is>
          <t>2XL</t>
        </is>
      </c>
      <c r="I1117" s="0">
        <v>59.99</v>
      </c>
      <c r="J1117" s="0">
        <v>17</v>
      </c>
    </row>
    <row r="1118" spans="1:10" customHeight="0">
      <c r="A1118" s="0">
        <f>HYPERLINK("https://dl.dropboxusercontent.com/scl/fi/z0afvkm033jhbzygh76o9/editdsc009354949.jpg?rlkey=bd6t1xg6802uwt968ridfx3ku&amp;dl=0","Click to download Image")</f>
      </c>
      <c r="B1118" s="0">
        <f>HYPERLINK("https://dl.dropboxusercontent.com/scl/fi/qw2i8zqwc5aho6nsxnpz2/mens-hoodie-size-chartsspencer-holden.jpg?rlkey=ndvje3oq4z6di5zqkvxwts5r5&amp;dl=0","Click to download SizeChart")</f>
      </c>
      <c r="C1118" s="0" t="inlineStr">
        <is>
          <t>Spencer Heavyweight Men's Hoodie</t>
        </is>
      </c>
      <c r="D1118" s="1">
        <v>152380</v>
      </c>
      <c r="E1118" s="0" t="inlineStr">
        <is>
          <t>IOWA SPENCE M BK:152380F-3XL</t>
        </is>
      </c>
      <c r="F1118" s="2">
        <v>800152380094</v>
      </c>
      <c r="G1118" s="0" t="inlineStr">
        <is>
          <t>MENS</t>
        </is>
      </c>
      <c r="H1118" s="0" t="inlineStr">
        <is>
          <t>3XL</t>
        </is>
      </c>
      <c r="I1118" s="0">
        <v>59.99</v>
      </c>
      <c r="J1118" s="0">
        <v>7</v>
      </c>
    </row>
    <row r="1119" spans="1:10" customHeight="0">
      <c r="A1119" s="0">
        <f>HYPERLINK("https://dl.dropboxusercontent.com/scl/fi/65smztnile7vht05il7uw/vrtl-iowa-tim-m-hg-v1f.jpg?rlkey=9tnbppyzrm6t4knlq2n6klxyc&amp;dl=0","Click to download Image")</f>
      </c>
      <c r="B1119" s="0">
        <f>HYPERLINK("https://dl.dropboxusercontent.com/scl/fi/uba0j5fys5beg0l7aiijt/mens-t-shirt-size-chartstim-seth.jpg?rlkey=t6t9f5dimsxncbtce8owlvusv&amp;dl=0","Click to download SizeChart")</f>
      </c>
      <c r="C1119" s="0" t="inlineStr">
        <is>
          <t>Tim Men's Cotton T-Shirt</t>
        </is>
      </c>
      <c r="D1119" s="1">
        <v>152872</v>
      </c>
      <c r="E1119" s="0" t="inlineStr">
        <is>
          <t>IOWA TIM M HG:152872A-S</t>
        </is>
      </c>
      <c r="F1119" s="2">
        <v>800152872049</v>
      </c>
      <c r="G1119" s="0" t="inlineStr">
        <is>
          <t>MENS</t>
        </is>
      </c>
      <c r="H1119" s="0" t="inlineStr">
        <is>
          <t>S</t>
        </is>
      </c>
      <c r="I1119" s="0">
        <v>29.99</v>
      </c>
      <c r="J1119" s="0">
        <v>1</v>
      </c>
    </row>
    <row r="1120" spans="1:10" customHeight="0">
      <c r="A1120" s="0">
        <f>HYPERLINK("https://dl.dropboxusercontent.com/scl/fi/65smztnile7vht05il7uw/vrtl-iowa-tim-m-hg-v1f.jpg?rlkey=9tnbppyzrm6t4knlq2n6klxyc&amp;dl=0","Click to download Image")</f>
      </c>
      <c r="B1120" s="0">
        <f>HYPERLINK("https://dl.dropboxusercontent.com/scl/fi/uba0j5fys5beg0l7aiijt/mens-t-shirt-size-chartstim-seth.jpg?rlkey=t6t9f5dimsxncbtce8owlvusv&amp;dl=0","Click to download SizeChart")</f>
      </c>
      <c r="C1120" s="0" t="inlineStr">
        <is>
          <t>Tim Men's Cotton T-Shirt</t>
        </is>
      </c>
      <c r="D1120" s="1">
        <v>152872</v>
      </c>
      <c r="E1120" s="0" t="inlineStr">
        <is>
          <t>IOWA TIM M HG:152872B-M</t>
        </is>
      </c>
      <c r="F1120" s="2">
        <v>800152872056</v>
      </c>
      <c r="G1120" s="0" t="inlineStr">
        <is>
          <t>MENS</t>
        </is>
      </c>
      <c r="H1120" s="0" t="inlineStr">
        <is>
          <t>M</t>
        </is>
      </c>
      <c r="I1120" s="0">
        <v>29.99</v>
      </c>
      <c r="J1120" s="0">
        <v>5</v>
      </c>
    </row>
    <row r="1121" spans="1:10" customHeight="0">
      <c r="A1121" s="0">
        <f>HYPERLINK("https://dl.dropboxusercontent.com/scl/fi/65smztnile7vht05il7uw/vrtl-iowa-tim-m-hg-v1f.jpg?rlkey=9tnbppyzrm6t4knlq2n6klxyc&amp;dl=0","Click to download Image")</f>
      </c>
      <c r="B1121" s="0">
        <f>HYPERLINK("https://dl.dropboxusercontent.com/scl/fi/uba0j5fys5beg0l7aiijt/mens-t-shirt-size-chartstim-seth.jpg?rlkey=t6t9f5dimsxncbtce8owlvusv&amp;dl=0","Click to download SizeChart")</f>
      </c>
      <c r="C1121" s="0" t="inlineStr">
        <is>
          <t>Tim Men's Cotton T-Shirt</t>
        </is>
      </c>
      <c r="D1121" s="1">
        <v>152872</v>
      </c>
      <c r="E1121" s="0" t="inlineStr">
        <is>
          <t>IOWA TIM M HG:152872C-L</t>
        </is>
      </c>
      <c r="F1121" s="2">
        <v>800152872063</v>
      </c>
      <c r="G1121" s="0" t="inlineStr">
        <is>
          <t>MENS</t>
        </is>
      </c>
      <c r="H1121" s="0" t="inlineStr">
        <is>
          <t>L</t>
        </is>
      </c>
      <c r="I1121" s="0">
        <v>29.99</v>
      </c>
      <c r="J1121" s="0">
        <v>7</v>
      </c>
    </row>
    <row r="1122" spans="1:10" customHeight="0">
      <c r="A1122" s="0">
        <f>HYPERLINK("https://dl.dropboxusercontent.com/scl/fi/65smztnile7vht05il7uw/vrtl-iowa-tim-m-hg-v1f.jpg?rlkey=9tnbppyzrm6t4knlq2n6klxyc&amp;dl=0","Click to download Image")</f>
      </c>
      <c r="B1122" s="0">
        <f>HYPERLINK("https://dl.dropboxusercontent.com/scl/fi/uba0j5fys5beg0l7aiijt/mens-t-shirt-size-chartstim-seth.jpg?rlkey=t6t9f5dimsxncbtce8owlvusv&amp;dl=0","Click to download SizeChart")</f>
      </c>
      <c r="C1122" s="0" t="inlineStr">
        <is>
          <t>Tim Men's Cotton T-Shirt</t>
        </is>
      </c>
      <c r="D1122" s="1">
        <v>152872</v>
      </c>
      <c r="E1122" s="0" t="inlineStr">
        <is>
          <t>IOWA TIM M HG:152872D-XL</t>
        </is>
      </c>
      <c r="F1122" s="2">
        <v>800152872070</v>
      </c>
      <c r="G1122" s="0" t="inlineStr">
        <is>
          <t>MENS</t>
        </is>
      </c>
      <c r="H1122" s="0" t="inlineStr">
        <is>
          <t>XL</t>
        </is>
      </c>
      <c r="I1122" s="0">
        <v>29.99</v>
      </c>
      <c r="J1122" s="0">
        <v>6</v>
      </c>
    </row>
    <row r="1123" spans="1:10" customHeight="0">
      <c r="A1123" s="0">
        <f>HYPERLINK("https://dl.dropboxusercontent.com/scl/fi/65smztnile7vht05il7uw/vrtl-iowa-tim-m-hg-v1f.jpg?rlkey=9tnbppyzrm6t4knlq2n6klxyc&amp;dl=0","Click to download Image")</f>
      </c>
      <c r="B1123" s="0">
        <f>HYPERLINK("https://dl.dropboxusercontent.com/scl/fi/uba0j5fys5beg0l7aiijt/mens-t-shirt-size-chartstim-seth.jpg?rlkey=t6t9f5dimsxncbtce8owlvusv&amp;dl=0","Click to download SizeChart")</f>
      </c>
      <c r="C1123" s="0" t="inlineStr">
        <is>
          <t>Tim Men's Cotton T-Shirt</t>
        </is>
      </c>
      <c r="D1123" s="1">
        <v>152872</v>
      </c>
      <c r="E1123" s="0" t="inlineStr">
        <is>
          <t>IOWA TIM M HG:152872E-2XL</t>
        </is>
      </c>
      <c r="F1123" s="2">
        <v>800152872087</v>
      </c>
      <c r="G1123" s="0" t="inlineStr">
        <is>
          <t>MENS</t>
        </is>
      </c>
      <c r="H1123" s="0" t="inlineStr">
        <is>
          <t>2XL</t>
        </is>
      </c>
      <c r="I1123" s="0">
        <v>29.99</v>
      </c>
      <c r="J1123" s="0">
        <v>4</v>
      </c>
    </row>
    <row r="1124" spans="1:10" customHeight="0">
      <c r="A1124" s="0">
        <f>HYPERLINK("https://dl.dropboxusercontent.com/scl/fi/65smztnile7vht05il7uw/vrtl-iowa-tim-m-hg-v1f.jpg?rlkey=9tnbppyzrm6t4knlq2n6klxyc&amp;dl=0","Click to download Image")</f>
      </c>
      <c r="B1124" s="0">
        <f>HYPERLINK("https://dl.dropboxusercontent.com/scl/fi/uba0j5fys5beg0l7aiijt/mens-t-shirt-size-chartstim-seth.jpg?rlkey=t6t9f5dimsxncbtce8owlvusv&amp;dl=0","Click to download SizeChart")</f>
      </c>
      <c r="C1124" s="0" t="inlineStr">
        <is>
          <t>Tim Men's Cotton T-Shirt</t>
        </is>
      </c>
      <c r="D1124" s="1">
        <v>152872</v>
      </c>
      <c r="E1124" s="0" t="inlineStr">
        <is>
          <t>IOWA TIM M HG:152872F-3XL</t>
        </is>
      </c>
      <c r="F1124" s="2">
        <v>800152872094</v>
      </c>
      <c r="G1124" s="0" t="inlineStr">
        <is>
          <t>MENS</t>
        </is>
      </c>
      <c r="H1124" s="0" t="inlineStr">
        <is>
          <t>3XL</t>
        </is>
      </c>
      <c r="I1124" s="0">
        <v>29.99</v>
      </c>
      <c r="J1124" s="0">
        <v>2</v>
      </c>
    </row>
    <row r="1125" spans="1:10" customHeight="0">
      <c r="A1125" s="0">
        <f>HYPERLINK("https://dl.dropboxusercontent.com/scl/fi/daktoykf2bxa3eewg7y2m/113207-af.jpg?rlkey=dfxjyirmneyw21h0cf4ppnpda&amp;dl=0","Click to download Image")</f>
      </c>
      <c r="C1125" s="0" t="inlineStr">
        <is>
          <t>Kenya Women's Scarf</t>
        </is>
      </c>
      <c r="D1125" s="1">
        <v>113207</v>
      </c>
      <c r="E1125" s="0" t="inlineStr">
        <is>
          <t>IOWA KENYA:113207</t>
        </is>
      </c>
      <c r="F1125" s="2">
        <v>700113207012</v>
      </c>
      <c r="H1125" s="0" t="inlineStr">
        <is>
          <t>58 X 6</t>
        </is>
      </c>
      <c r="I1125" s="0">
        <v>24.99</v>
      </c>
      <c r="J1125" s="0">
        <v>48</v>
      </c>
    </row>
    <row r="1126" spans="1:10" customHeight="0">
      <c r="A1126" s="0">
        <f>HYPERLINK("https://dl.dropboxusercontent.com/scl/fi/bgup22l49dxce5ntw512n/editdsc021606034.jpg?rlkey=mwv75kjyer3ngcso7kner1dl3&amp;dl=0","Click to download Image")</f>
      </c>
      <c r="B1126" s="0">
        <f>HYPERLINK("https://dl.dropboxusercontent.com/scl/fi/n6jjgaizeb3wcy5tbr4lh/mens-button-down-size-chartsdelta-golf.jpg?rlkey=9cew7uocsdb63jlat9mj70brw&amp;dl=0","Click to download SizeChart")</f>
      </c>
      <c r="C1126" s="0" t="inlineStr">
        <is>
          <t>Delta 2 Men's Plaid Button Down</t>
        </is>
      </c>
      <c r="D1126" s="1">
        <v>144644</v>
      </c>
      <c r="E1126" s="0" t="inlineStr">
        <is>
          <t>IOWA DELTA2 M BK:144644A-S</t>
        </is>
      </c>
      <c r="F1126" s="2">
        <v>800144644043</v>
      </c>
      <c r="G1126" s="0" t="inlineStr">
        <is>
          <t>MENS</t>
        </is>
      </c>
      <c r="H1126" s="0" t="inlineStr">
        <is>
          <t>S</t>
        </is>
      </c>
      <c r="I1126" s="0">
        <v>89.99</v>
      </c>
      <c r="J1126" s="0">
        <v>2</v>
      </c>
    </row>
    <row r="1127" spans="1:10" customHeight="0">
      <c r="A1127" s="0">
        <f>HYPERLINK("https://dl.dropboxusercontent.com/scl/fi/bgup22l49dxce5ntw512n/editdsc021606034.jpg?rlkey=mwv75kjyer3ngcso7kner1dl3&amp;dl=0","Click to download Image")</f>
      </c>
      <c r="B1127" s="0">
        <f>HYPERLINK("https://dl.dropboxusercontent.com/scl/fi/n6jjgaizeb3wcy5tbr4lh/mens-button-down-size-chartsdelta-golf.jpg?rlkey=9cew7uocsdb63jlat9mj70brw&amp;dl=0","Click to download SizeChart")</f>
      </c>
      <c r="C1127" s="0" t="inlineStr">
        <is>
          <t>Delta 2 Men's Plaid Button Down</t>
        </is>
      </c>
      <c r="D1127" s="1">
        <v>144644</v>
      </c>
      <c r="E1127" s="0" t="inlineStr">
        <is>
          <t>IOWA DELTA2 M BK:144644B-M</t>
        </is>
      </c>
      <c r="F1127" s="2">
        <v>800144644050</v>
      </c>
      <c r="G1127" s="0" t="inlineStr">
        <is>
          <t>MENS</t>
        </is>
      </c>
      <c r="H1127" s="0" t="inlineStr">
        <is>
          <t>M</t>
        </is>
      </c>
      <c r="I1127" s="0">
        <v>89.99</v>
      </c>
      <c r="J1127" s="0">
        <v>4</v>
      </c>
    </row>
    <row r="1128" spans="1:10" customHeight="0">
      <c r="A1128" s="0">
        <f>HYPERLINK("https://dl.dropboxusercontent.com/scl/fi/bgup22l49dxce5ntw512n/editdsc021606034.jpg?rlkey=mwv75kjyer3ngcso7kner1dl3&amp;dl=0","Click to download Image")</f>
      </c>
      <c r="B1128" s="0">
        <f>HYPERLINK("https://dl.dropboxusercontent.com/scl/fi/n6jjgaizeb3wcy5tbr4lh/mens-button-down-size-chartsdelta-golf.jpg?rlkey=9cew7uocsdb63jlat9mj70brw&amp;dl=0","Click to download SizeChart")</f>
      </c>
      <c r="C1128" s="0" t="inlineStr">
        <is>
          <t>Delta 2 Men's Plaid Button Down</t>
        </is>
      </c>
      <c r="D1128" s="1">
        <v>144644</v>
      </c>
      <c r="E1128" s="0" t="inlineStr">
        <is>
          <t>IOWA DELTA2 M BK:144644C-L</t>
        </is>
      </c>
      <c r="F1128" s="2">
        <v>800144644067</v>
      </c>
      <c r="G1128" s="0" t="inlineStr">
        <is>
          <t>MENS</t>
        </is>
      </c>
      <c r="H1128" s="0" t="inlineStr">
        <is>
          <t>L</t>
        </is>
      </c>
      <c r="I1128" s="0">
        <v>89.99</v>
      </c>
      <c r="J1128" s="0">
        <v>6</v>
      </c>
    </row>
    <row r="1129" spans="1:10" customHeight="0">
      <c r="A1129" s="0">
        <f>HYPERLINK("https://dl.dropboxusercontent.com/scl/fi/bgup22l49dxce5ntw512n/editdsc021606034.jpg?rlkey=mwv75kjyer3ngcso7kner1dl3&amp;dl=0","Click to download Image")</f>
      </c>
      <c r="B1129" s="0">
        <f>HYPERLINK("https://dl.dropboxusercontent.com/scl/fi/n6jjgaizeb3wcy5tbr4lh/mens-button-down-size-chartsdelta-golf.jpg?rlkey=9cew7uocsdb63jlat9mj70brw&amp;dl=0","Click to download SizeChart")</f>
      </c>
      <c r="C1129" s="0" t="inlineStr">
        <is>
          <t>Delta 2 Men's Plaid Button Down</t>
        </is>
      </c>
      <c r="D1129" s="1">
        <v>144644</v>
      </c>
      <c r="E1129" s="0" t="inlineStr">
        <is>
          <t>IOWA DELTA2 M BK:144644D-XL</t>
        </is>
      </c>
      <c r="F1129" s="2">
        <v>800144644074</v>
      </c>
      <c r="G1129" s="0" t="inlineStr">
        <is>
          <t>MENS</t>
        </is>
      </c>
      <c r="H1129" s="0" t="inlineStr">
        <is>
          <t>XL</t>
        </is>
      </c>
      <c r="I1129" s="0">
        <v>89.99</v>
      </c>
      <c r="J1129" s="0">
        <v>5</v>
      </c>
    </row>
    <row r="1130" spans="1:10" customHeight="0">
      <c r="A1130" s="0">
        <f>HYPERLINK("https://dl.dropboxusercontent.com/scl/fi/bgup22l49dxce5ntw512n/editdsc021606034.jpg?rlkey=mwv75kjyer3ngcso7kner1dl3&amp;dl=0","Click to download Image")</f>
      </c>
      <c r="B1130" s="0">
        <f>HYPERLINK("https://dl.dropboxusercontent.com/scl/fi/n6jjgaizeb3wcy5tbr4lh/mens-button-down-size-chartsdelta-golf.jpg?rlkey=9cew7uocsdb63jlat9mj70brw&amp;dl=0","Click to download SizeChart")</f>
      </c>
      <c r="C1130" s="0" t="inlineStr">
        <is>
          <t>Delta 2 Men's Plaid Button Down</t>
        </is>
      </c>
      <c r="D1130" s="1">
        <v>144644</v>
      </c>
      <c r="E1130" s="0" t="inlineStr">
        <is>
          <t>IOWA DELTA2 M BK:144644E-2XL</t>
        </is>
      </c>
      <c r="F1130" s="2">
        <v>800144644081</v>
      </c>
      <c r="G1130" s="0" t="inlineStr">
        <is>
          <t>MENS</t>
        </is>
      </c>
      <c r="H1130" s="0" t="inlineStr">
        <is>
          <t>2XL</t>
        </is>
      </c>
      <c r="I1130" s="0">
        <v>89.99</v>
      </c>
      <c r="J1130" s="0">
        <v>4</v>
      </c>
    </row>
    <row r="1131" spans="1:10" customHeight="0">
      <c r="A1131" s="0">
        <f>HYPERLINK("https://dl.dropboxusercontent.com/scl/fi/bgup22l49dxce5ntw512n/editdsc021606034.jpg?rlkey=mwv75kjyer3ngcso7kner1dl3&amp;dl=0","Click to download Image")</f>
      </c>
      <c r="B1131" s="0">
        <f>HYPERLINK("https://dl.dropboxusercontent.com/scl/fi/n6jjgaizeb3wcy5tbr4lh/mens-button-down-size-chartsdelta-golf.jpg?rlkey=9cew7uocsdb63jlat9mj70brw&amp;dl=0","Click to download SizeChart")</f>
      </c>
      <c r="C1131" s="0" t="inlineStr">
        <is>
          <t>Delta 2 Men's Plaid Button Down</t>
        </is>
      </c>
      <c r="D1131" s="1">
        <v>144644</v>
      </c>
      <c r="E1131" s="0" t="inlineStr">
        <is>
          <t>IOWA DELTA2 M BK:144644F-3XL</t>
        </is>
      </c>
      <c r="F1131" s="2">
        <v>800144644098</v>
      </c>
      <c r="G1131" s="0" t="inlineStr">
        <is>
          <t>MENS</t>
        </is>
      </c>
      <c r="H1131" s="0" t="inlineStr">
        <is>
          <t>3XL</t>
        </is>
      </c>
      <c r="I1131" s="0">
        <v>89.99</v>
      </c>
      <c r="J1131" s="0">
        <v>2</v>
      </c>
    </row>
    <row r="1132" spans="1:10" customHeight="0">
      <c r="A1132" s="0">
        <f>HYPERLINK("https://dl.dropboxusercontent.com/scl/fi/bt8l40rjiuiltu7pzb94v/iowa33142.jpg?rlkey=905ydqq4c15av1mi3i4gytxdb&amp;dl=0","Click to download Image")</f>
      </c>
      <c r="B1132" s="0">
        <f>HYPERLINK("https://dl.dropboxusercontent.com/scl/fi/n6jjgaizeb3wcy5tbr4lh/mens-button-down-size-chartsdelta-golf.jpg?rlkey=9cew7uocsdb63jlat9mj70brw&amp;dl=0","Click to download SizeChart")</f>
      </c>
      <c r="C1132" s="0" t="inlineStr">
        <is>
          <t>Delta 2 Men's Plaid Button Down</t>
        </is>
      </c>
      <c r="D1132" s="1">
        <v>139725</v>
      </c>
      <c r="E1132" s="0" t="inlineStr">
        <is>
          <t>IOWA DELTA M GY:139725A-S</t>
        </is>
      </c>
      <c r="F1132" s="2">
        <v>800139725047</v>
      </c>
      <c r="G1132" s="0" t="inlineStr">
        <is>
          <t>MENS</t>
        </is>
      </c>
      <c r="H1132" s="0" t="inlineStr">
        <is>
          <t>S</t>
        </is>
      </c>
      <c r="I1132" s="0">
        <v>89.99</v>
      </c>
      <c r="J1132" s="0">
        <v>0</v>
      </c>
    </row>
    <row r="1133" spans="1:10" customHeight="0">
      <c r="A1133" s="0">
        <f>HYPERLINK("https://dl.dropboxusercontent.com/scl/fi/bt8l40rjiuiltu7pzb94v/iowa33142.jpg?rlkey=905ydqq4c15av1mi3i4gytxdb&amp;dl=0","Click to download Image")</f>
      </c>
      <c r="B1133" s="0">
        <f>HYPERLINK("https://dl.dropboxusercontent.com/scl/fi/n6jjgaizeb3wcy5tbr4lh/mens-button-down-size-chartsdelta-golf.jpg?rlkey=9cew7uocsdb63jlat9mj70brw&amp;dl=0","Click to download SizeChart")</f>
      </c>
      <c r="C1133" s="0" t="inlineStr">
        <is>
          <t>Delta 2 Men's Plaid Button Down</t>
        </is>
      </c>
      <c r="D1133" s="1">
        <v>139725</v>
      </c>
      <c r="E1133" s="0" t="inlineStr">
        <is>
          <t>IOWA DELTA M GY:139725B-M</t>
        </is>
      </c>
      <c r="F1133" s="2">
        <v>800139725054</v>
      </c>
      <c r="G1133" s="0" t="inlineStr">
        <is>
          <t>MENS</t>
        </is>
      </c>
      <c r="H1133" s="0" t="inlineStr">
        <is>
          <t>M</t>
        </is>
      </c>
      <c r="I1133" s="0">
        <v>89.99</v>
      </c>
      <c r="J1133" s="0">
        <v>0</v>
      </c>
    </row>
    <row r="1134" spans="1:10" customHeight="0">
      <c r="A1134" s="0">
        <f>HYPERLINK("https://dl.dropboxusercontent.com/scl/fi/bt8l40rjiuiltu7pzb94v/iowa33142.jpg?rlkey=905ydqq4c15av1mi3i4gytxdb&amp;dl=0","Click to download Image")</f>
      </c>
      <c r="B1134" s="0">
        <f>HYPERLINK("https://dl.dropboxusercontent.com/scl/fi/n6jjgaizeb3wcy5tbr4lh/mens-button-down-size-chartsdelta-golf.jpg?rlkey=9cew7uocsdb63jlat9mj70brw&amp;dl=0","Click to download SizeChart")</f>
      </c>
      <c r="C1134" s="0" t="inlineStr">
        <is>
          <t>Delta 2 Men's Plaid Button Down</t>
        </is>
      </c>
      <c r="D1134" s="1">
        <v>139725</v>
      </c>
      <c r="E1134" s="0" t="inlineStr">
        <is>
          <t>IOWA DELTA M GY:139725C-L</t>
        </is>
      </c>
      <c r="F1134" s="2">
        <v>800139725061</v>
      </c>
      <c r="G1134" s="0" t="inlineStr">
        <is>
          <t>MENS</t>
        </is>
      </c>
      <c r="H1134" s="0" t="inlineStr">
        <is>
          <t>L</t>
        </is>
      </c>
      <c r="I1134" s="0">
        <v>89.99</v>
      </c>
      <c r="J1134" s="0">
        <v>1</v>
      </c>
    </row>
    <row r="1135" spans="1:10" customHeight="0">
      <c r="A1135" s="0">
        <f>HYPERLINK("https://dl.dropboxusercontent.com/scl/fi/bt8l40rjiuiltu7pzb94v/iowa33142.jpg?rlkey=905ydqq4c15av1mi3i4gytxdb&amp;dl=0","Click to download Image")</f>
      </c>
      <c r="B1135" s="0">
        <f>HYPERLINK("https://dl.dropboxusercontent.com/scl/fi/n6jjgaizeb3wcy5tbr4lh/mens-button-down-size-chartsdelta-golf.jpg?rlkey=9cew7uocsdb63jlat9mj70brw&amp;dl=0","Click to download SizeChart")</f>
      </c>
      <c r="C1135" s="0" t="inlineStr">
        <is>
          <t>Delta 2 Men's Plaid Button Down</t>
        </is>
      </c>
      <c r="D1135" s="1">
        <v>139725</v>
      </c>
      <c r="E1135" s="0" t="inlineStr">
        <is>
          <t>IOWA DELTA M GY:139725D-XL</t>
        </is>
      </c>
      <c r="F1135" s="2">
        <v>800139725078</v>
      </c>
      <c r="G1135" s="0" t="inlineStr">
        <is>
          <t>MENS</t>
        </is>
      </c>
      <c r="H1135" s="0" t="inlineStr">
        <is>
          <t>XL</t>
        </is>
      </c>
      <c r="I1135" s="0">
        <v>89.99</v>
      </c>
      <c r="J1135" s="0">
        <v>0</v>
      </c>
    </row>
    <row r="1136" spans="1:10" customHeight="0">
      <c r="A1136" s="0">
        <f>HYPERLINK("https://dl.dropboxusercontent.com/scl/fi/bt8l40rjiuiltu7pzb94v/iowa33142.jpg?rlkey=905ydqq4c15av1mi3i4gytxdb&amp;dl=0","Click to download Image")</f>
      </c>
      <c r="B1136" s="0">
        <f>HYPERLINK("https://dl.dropboxusercontent.com/scl/fi/n6jjgaizeb3wcy5tbr4lh/mens-button-down-size-chartsdelta-golf.jpg?rlkey=9cew7uocsdb63jlat9mj70brw&amp;dl=0","Click to download SizeChart")</f>
      </c>
      <c r="C1136" s="0" t="inlineStr">
        <is>
          <t>Delta 2 Men's Plaid Button Down</t>
        </is>
      </c>
      <c r="D1136" s="1">
        <v>139725</v>
      </c>
      <c r="E1136" s="0" t="inlineStr">
        <is>
          <t>IOWA DELTA M GY:139725E-2XL</t>
        </is>
      </c>
      <c r="F1136" s="2">
        <v>800139725085</v>
      </c>
      <c r="G1136" s="0" t="inlineStr">
        <is>
          <t>MENS</t>
        </is>
      </c>
      <c r="H1136" s="0" t="inlineStr">
        <is>
          <t>2XL</t>
        </is>
      </c>
      <c r="I1136" s="0">
        <v>89.99</v>
      </c>
      <c r="J1136" s="0">
        <v>0</v>
      </c>
    </row>
    <row r="1137" spans="1:10" customHeight="0">
      <c r="A1137" s="0">
        <f>HYPERLINK("https://dl.dropboxusercontent.com/scl/fi/bt8l40rjiuiltu7pzb94v/iowa33142.jpg?rlkey=905ydqq4c15av1mi3i4gytxdb&amp;dl=0","Click to download Image")</f>
      </c>
      <c r="B1137" s="0">
        <f>HYPERLINK("https://dl.dropboxusercontent.com/scl/fi/n6jjgaizeb3wcy5tbr4lh/mens-button-down-size-chartsdelta-golf.jpg?rlkey=9cew7uocsdb63jlat9mj70brw&amp;dl=0","Click to download SizeChart")</f>
      </c>
      <c r="C1137" s="0" t="inlineStr">
        <is>
          <t>Delta 2 Men's Plaid Button Down</t>
        </is>
      </c>
      <c r="D1137" s="1">
        <v>139725</v>
      </c>
      <c r="E1137" s="0" t="inlineStr">
        <is>
          <t>IOWA DELTA M GY:139725F-3XL</t>
        </is>
      </c>
      <c r="F1137" s="2">
        <v>800139725092</v>
      </c>
      <c r="G1137" s="0" t="inlineStr">
        <is>
          <t>MENS</t>
        </is>
      </c>
      <c r="H1137" s="0" t="inlineStr">
        <is>
          <t>3XL</t>
        </is>
      </c>
      <c r="I1137" s="0">
        <v>89.99</v>
      </c>
      <c r="J1137" s="0">
        <v>0</v>
      </c>
    </row>
    <row r="1138" spans="1:10" customHeight="0">
      <c r="A1138" s="0">
        <f>HYPERLINK("https://dl.dropboxusercontent.com/scl/fi/h0l48hc5f0vekev6d4bc3/144846t.jpg?rlkey=ldzc8yogqad9jb4q9s5o9nm9o&amp;dl=0","Click to download Image")</f>
      </c>
      <c r="C1138" s="0" t="inlineStr">
        <is>
          <t>Fielder Men's Scuba Knit Hoodie</t>
        </is>
      </c>
      <c r="D1138" s="1">
        <v>144846</v>
      </c>
      <c r="E1138" s="0" t="inlineStr">
        <is>
          <t>IOWA FIELDE M BK:144846A-S</t>
        </is>
      </c>
      <c r="F1138" s="2">
        <v>800144846041</v>
      </c>
      <c r="G1138" s="0" t="inlineStr">
        <is>
          <t>MENS</t>
        </is>
      </c>
      <c r="H1138" s="0" t="inlineStr">
        <is>
          <t>S</t>
        </is>
      </c>
      <c r="I1138" s="0">
        <v>59.99</v>
      </c>
      <c r="J1138" s="0">
        <v>3</v>
      </c>
    </row>
    <row r="1139" spans="1:10" customHeight="0">
      <c r="A1139" s="0">
        <f>HYPERLINK("https://dl.dropboxusercontent.com/scl/fi/h0l48hc5f0vekev6d4bc3/144846t.jpg?rlkey=ldzc8yogqad9jb4q9s5o9nm9o&amp;dl=0","Click to download Image")</f>
      </c>
      <c r="C1139" s="0" t="inlineStr">
        <is>
          <t>Fielder Men's Scuba Knit Hoodie</t>
        </is>
      </c>
      <c r="D1139" s="1">
        <v>144846</v>
      </c>
      <c r="E1139" s="0" t="inlineStr">
        <is>
          <t>IOWA FIELDE M BK:144846B-M</t>
        </is>
      </c>
      <c r="F1139" s="2">
        <v>800144846058</v>
      </c>
      <c r="G1139" s="0" t="inlineStr">
        <is>
          <t>MENS</t>
        </is>
      </c>
      <c r="H1139" s="0" t="inlineStr">
        <is>
          <t>M</t>
        </is>
      </c>
      <c r="I1139" s="0">
        <v>59.99</v>
      </c>
      <c r="J1139" s="0">
        <v>4</v>
      </c>
    </row>
    <row r="1140" spans="1:10" customHeight="0">
      <c r="A1140" s="0">
        <f>HYPERLINK("https://dl.dropboxusercontent.com/scl/fi/h0l48hc5f0vekev6d4bc3/144846t.jpg?rlkey=ldzc8yogqad9jb4q9s5o9nm9o&amp;dl=0","Click to download Image")</f>
      </c>
      <c r="C1140" s="0" t="inlineStr">
        <is>
          <t>Fielder Men's Scuba Knit Hoodie</t>
        </is>
      </c>
      <c r="D1140" s="1">
        <v>144846</v>
      </c>
      <c r="E1140" s="0" t="inlineStr">
        <is>
          <t>IOWA FIELDE M BK:144846C-L</t>
        </is>
      </c>
      <c r="F1140" s="2">
        <v>800144846065</v>
      </c>
      <c r="G1140" s="0" t="inlineStr">
        <is>
          <t>MENS</t>
        </is>
      </c>
      <c r="H1140" s="0" t="inlineStr">
        <is>
          <t>L</t>
        </is>
      </c>
      <c r="I1140" s="0">
        <v>59.99</v>
      </c>
      <c r="J1140" s="0">
        <v>0</v>
      </c>
    </row>
    <row r="1141" spans="1:10" customHeight="0">
      <c r="A1141" s="0">
        <f>HYPERLINK("https://dl.dropboxusercontent.com/scl/fi/h0l48hc5f0vekev6d4bc3/144846t.jpg?rlkey=ldzc8yogqad9jb4q9s5o9nm9o&amp;dl=0","Click to download Image")</f>
      </c>
      <c r="C1141" s="0" t="inlineStr">
        <is>
          <t>Fielder Men's Scuba Knit Hoodie</t>
        </is>
      </c>
      <c r="D1141" s="1">
        <v>144846</v>
      </c>
      <c r="E1141" s="0" t="inlineStr">
        <is>
          <t>IOWA FIELDE M BK:144846D-XL</t>
        </is>
      </c>
      <c r="F1141" s="2">
        <v>800144846072</v>
      </c>
      <c r="G1141" s="0" t="inlineStr">
        <is>
          <t>MENS</t>
        </is>
      </c>
      <c r="H1141" s="0" t="inlineStr">
        <is>
          <t>XL</t>
        </is>
      </c>
      <c r="I1141" s="0">
        <v>59.99</v>
      </c>
      <c r="J1141" s="0">
        <v>8</v>
      </c>
    </row>
    <row r="1142" spans="1:10" customHeight="0">
      <c r="A1142" s="0">
        <f>HYPERLINK("https://dl.dropboxusercontent.com/scl/fi/h0l48hc5f0vekev6d4bc3/144846t.jpg?rlkey=ldzc8yogqad9jb4q9s5o9nm9o&amp;dl=0","Click to download Image")</f>
      </c>
      <c r="C1142" s="0" t="inlineStr">
        <is>
          <t>Fielder Men's Scuba Knit Hoodie</t>
        </is>
      </c>
      <c r="D1142" s="1">
        <v>144846</v>
      </c>
      <c r="E1142" s="0" t="inlineStr">
        <is>
          <t>IOWA FIELDE M BK:144846E-2XL</t>
        </is>
      </c>
      <c r="F1142" s="2">
        <v>800144846089</v>
      </c>
      <c r="G1142" s="0" t="inlineStr">
        <is>
          <t>MENS</t>
        </is>
      </c>
      <c r="H1142" s="0" t="inlineStr">
        <is>
          <t>2XL</t>
        </is>
      </c>
      <c r="I1142" s="0">
        <v>59.99</v>
      </c>
      <c r="J1142" s="0">
        <v>4</v>
      </c>
    </row>
    <row r="1143" spans="1:10" customHeight="0">
      <c r="A1143" s="0">
        <f>HYPERLINK("https://dl.dropboxusercontent.com/scl/fi/h0l48hc5f0vekev6d4bc3/144846t.jpg?rlkey=ldzc8yogqad9jb4q9s5o9nm9o&amp;dl=0","Click to download Image")</f>
      </c>
      <c r="C1143" s="0" t="inlineStr">
        <is>
          <t>Fielder Men's Scuba Knit Hoodie</t>
        </is>
      </c>
      <c r="D1143" s="1">
        <v>144846</v>
      </c>
      <c r="E1143" s="0" t="inlineStr">
        <is>
          <t>IOWA FIELDE M BK:144846F-3XL</t>
        </is>
      </c>
      <c r="F1143" s="2">
        <v>800144846096</v>
      </c>
      <c r="G1143" s="0" t="inlineStr">
        <is>
          <t>MENS</t>
        </is>
      </c>
      <c r="H1143" s="0" t="inlineStr">
        <is>
          <t>3XL</t>
        </is>
      </c>
      <c r="I1143" s="0">
        <v>59.99</v>
      </c>
      <c r="J1143" s="0">
        <v>1</v>
      </c>
    </row>
    <row r="1144" spans="1:10" customHeight="0">
      <c r="A1144" s="0">
        <f>HYPERLINK("https://dl.dropboxusercontent.com/scl/fi/h0l48hc5f0vekev6d4bc3/144846t.jpg?rlkey=ldzc8yogqad9jb4q9s5o9nm9o&amp;dl=0","Click to download Image")</f>
      </c>
      <c r="C1144" s="0" t="inlineStr">
        <is>
          <t>Fielder Men's Scuba Knit Hoodie</t>
        </is>
      </c>
      <c r="D1144" s="1">
        <v>144846</v>
      </c>
      <c r="E1144" s="0" t="inlineStr">
        <is>
          <t>IOWA FIELDE M BK:144846Z-12PK</t>
        </is>
      </c>
      <c r="F1144" s="2">
        <v>800144846997</v>
      </c>
      <c r="G1144" s="0" t="inlineStr">
        <is>
          <t>MENS</t>
        </is>
      </c>
      <c r="H1144" s="0" t="inlineStr">
        <is>
          <t>12 PACK</t>
        </is>
      </c>
      <c r="I1144" s="0">
        <v>580.7</v>
      </c>
      <c r="J1144" s="0">
        <v>0</v>
      </c>
    </row>
    <row r="1145" spans="1:10" customHeight="0">
      <c r="A1145" s="0">
        <f>HYPERLINK("https://dl.dropboxusercontent.com/scl/fi/y14644gg7r9hhj7egealg/kendrickt.jpg?rlkey=1badq8ednxcoil7oreluyrypz&amp;dl=0","Click to download Image")</f>
      </c>
      <c r="B1145" s="0">
        <f>HYPERLINK("https://dl.dropboxusercontent.com/scl/fi/agvqm45l7lwgo6wt892ts/jersey-size-chartskendrick.jpg?rlkey=cn4u27nevupfq7shnf1q43s7y&amp;dl=0","Click to download SizeChart")</f>
      </c>
      <c r="C1145" s="0" t="inlineStr">
        <is>
          <t>Kendrick Men's Relaxed Bike Jersey</t>
        </is>
      </c>
      <c r="D1145" s="1">
        <v>152305</v>
      </c>
      <c r="E1145" s="0" t="inlineStr">
        <is>
          <t>IOWA KENDRI M BK:152305A-S</t>
        </is>
      </c>
      <c r="F1145" s="2">
        <v>800152305042</v>
      </c>
      <c r="G1145" s="0" t="inlineStr">
        <is>
          <t>MENS</t>
        </is>
      </c>
      <c r="H1145" s="0" t="inlineStr">
        <is>
          <t>S</t>
        </is>
      </c>
      <c r="I1145" s="0">
        <v>89.99</v>
      </c>
      <c r="J1145" s="0">
        <v>1</v>
      </c>
    </row>
    <row r="1146" spans="1:10" customHeight="0">
      <c r="A1146" s="0">
        <f>HYPERLINK("https://dl.dropboxusercontent.com/scl/fi/y14644gg7r9hhj7egealg/kendrickt.jpg?rlkey=1badq8ednxcoil7oreluyrypz&amp;dl=0","Click to download Image")</f>
      </c>
      <c r="B1146" s="0">
        <f>HYPERLINK("https://dl.dropboxusercontent.com/scl/fi/agvqm45l7lwgo6wt892ts/jersey-size-chartskendrick.jpg?rlkey=cn4u27nevupfq7shnf1q43s7y&amp;dl=0","Click to download SizeChart")</f>
      </c>
      <c r="C1146" s="0" t="inlineStr">
        <is>
          <t>Kendrick Men's Relaxed Bike Jersey</t>
        </is>
      </c>
      <c r="D1146" s="1">
        <v>152305</v>
      </c>
      <c r="E1146" s="0" t="inlineStr">
        <is>
          <t>IOWA KENDRI M BK:152305B-M</t>
        </is>
      </c>
      <c r="F1146" s="2">
        <v>800152305059</v>
      </c>
      <c r="G1146" s="0" t="inlineStr">
        <is>
          <t>MENS</t>
        </is>
      </c>
      <c r="H1146" s="0" t="inlineStr">
        <is>
          <t>M</t>
        </is>
      </c>
      <c r="I1146" s="0">
        <v>89.99</v>
      </c>
      <c r="J1146" s="0">
        <v>1</v>
      </c>
    </row>
    <row r="1147" spans="1:10" customHeight="0">
      <c r="A1147" s="0">
        <f>HYPERLINK("https://dl.dropboxusercontent.com/scl/fi/y14644gg7r9hhj7egealg/kendrickt.jpg?rlkey=1badq8ednxcoil7oreluyrypz&amp;dl=0","Click to download Image")</f>
      </c>
      <c r="B1147" s="0">
        <f>HYPERLINK("https://dl.dropboxusercontent.com/scl/fi/agvqm45l7lwgo6wt892ts/jersey-size-chartskendrick.jpg?rlkey=cn4u27nevupfq7shnf1q43s7y&amp;dl=0","Click to download SizeChart")</f>
      </c>
      <c r="C1147" s="0" t="inlineStr">
        <is>
          <t>Kendrick Men's Relaxed Bike Jersey</t>
        </is>
      </c>
      <c r="D1147" s="1">
        <v>152305</v>
      </c>
      <c r="E1147" s="0" t="inlineStr">
        <is>
          <t>IOWA KENDRI M BK:152305C-L</t>
        </is>
      </c>
      <c r="F1147" s="2">
        <v>800152305066</v>
      </c>
      <c r="G1147" s="0" t="inlineStr">
        <is>
          <t>MENS</t>
        </is>
      </c>
      <c r="H1147" s="0" t="inlineStr">
        <is>
          <t>L</t>
        </is>
      </c>
      <c r="I1147" s="0">
        <v>89.99</v>
      </c>
      <c r="J1147" s="0">
        <v>3</v>
      </c>
    </row>
    <row r="1148" spans="1:10" customHeight="0">
      <c r="A1148" s="0">
        <f>HYPERLINK("https://dl.dropboxusercontent.com/scl/fi/y14644gg7r9hhj7egealg/kendrickt.jpg?rlkey=1badq8ednxcoil7oreluyrypz&amp;dl=0","Click to download Image")</f>
      </c>
      <c r="B1148" s="0">
        <f>HYPERLINK("https://dl.dropboxusercontent.com/scl/fi/agvqm45l7lwgo6wt892ts/jersey-size-chartskendrick.jpg?rlkey=cn4u27nevupfq7shnf1q43s7y&amp;dl=0","Click to download SizeChart")</f>
      </c>
      <c r="C1148" s="0" t="inlineStr">
        <is>
          <t>Kendrick Men's Relaxed Bike Jersey</t>
        </is>
      </c>
      <c r="D1148" s="1">
        <v>152305</v>
      </c>
      <c r="E1148" s="0" t="inlineStr">
        <is>
          <t>IOWA KENDRI M BK:152305D-XL</t>
        </is>
      </c>
      <c r="F1148" s="2">
        <v>800152305073</v>
      </c>
      <c r="G1148" s="0" t="inlineStr">
        <is>
          <t>MENS</t>
        </is>
      </c>
      <c r="H1148" s="0" t="inlineStr">
        <is>
          <t>XL</t>
        </is>
      </c>
      <c r="I1148" s="0">
        <v>89.99</v>
      </c>
      <c r="J1148" s="0">
        <v>4</v>
      </c>
    </row>
    <row r="1149" spans="1:10" customHeight="0">
      <c r="A1149" s="0">
        <f>HYPERLINK("https://dl.dropboxusercontent.com/scl/fi/y14644gg7r9hhj7egealg/kendrickt.jpg?rlkey=1badq8ednxcoil7oreluyrypz&amp;dl=0","Click to download Image")</f>
      </c>
      <c r="B1149" s="0">
        <f>HYPERLINK("https://dl.dropboxusercontent.com/scl/fi/agvqm45l7lwgo6wt892ts/jersey-size-chartskendrick.jpg?rlkey=cn4u27nevupfq7shnf1q43s7y&amp;dl=0","Click to download SizeChart")</f>
      </c>
      <c r="C1149" s="0" t="inlineStr">
        <is>
          <t>Kendrick Men's Relaxed Bike Jersey</t>
        </is>
      </c>
      <c r="D1149" s="1">
        <v>152305</v>
      </c>
      <c r="E1149" s="0" t="inlineStr">
        <is>
          <t>IOWA KENDRI M BK:152305E-2XL</t>
        </is>
      </c>
      <c r="F1149" s="2">
        <v>800152305080</v>
      </c>
      <c r="G1149" s="0" t="inlineStr">
        <is>
          <t>MENS</t>
        </is>
      </c>
      <c r="H1149" s="0" t="inlineStr">
        <is>
          <t>2XL</t>
        </is>
      </c>
      <c r="I1149" s="0">
        <v>89.99</v>
      </c>
      <c r="J1149" s="0">
        <v>2</v>
      </c>
    </row>
    <row r="1150" spans="1:10" customHeight="0">
      <c r="A1150" s="0">
        <f>HYPERLINK("https://dl.dropboxusercontent.com/scl/fi/y14644gg7r9hhj7egealg/kendrickt.jpg?rlkey=1badq8ednxcoil7oreluyrypz&amp;dl=0","Click to download Image")</f>
      </c>
      <c r="B1150" s="0">
        <f>HYPERLINK("https://dl.dropboxusercontent.com/scl/fi/agvqm45l7lwgo6wt892ts/jersey-size-chartskendrick.jpg?rlkey=cn4u27nevupfq7shnf1q43s7y&amp;dl=0","Click to download SizeChart")</f>
      </c>
      <c r="C1150" s="0" t="inlineStr">
        <is>
          <t>Kendrick Men's Relaxed Bike Jersey</t>
        </is>
      </c>
      <c r="D1150" s="1">
        <v>152305</v>
      </c>
      <c r="E1150" s="0" t="inlineStr">
        <is>
          <t>IOWA KENDRI M BK:152305F-3XL</t>
        </is>
      </c>
      <c r="F1150" s="2">
        <v>800152305097</v>
      </c>
      <c r="G1150" s="0" t="inlineStr">
        <is>
          <t>MENS</t>
        </is>
      </c>
      <c r="H1150" s="0" t="inlineStr">
        <is>
          <t>3XL</t>
        </is>
      </c>
      <c r="I1150" s="0">
        <v>89.99</v>
      </c>
      <c r="J1150" s="0">
        <v>1</v>
      </c>
    </row>
    <row r="1151" spans="1:10" customHeight="0">
      <c r="A1151" s="0">
        <f>HYPERLINK("https://dl.dropboxusercontent.com/scl/fi/y14644gg7r9hhj7egealg/kendrickt.jpg?rlkey=1badq8ednxcoil7oreluyrypz&amp;dl=0","Click to download Image")</f>
      </c>
      <c r="B1151" s="0">
        <f>HYPERLINK("https://dl.dropboxusercontent.com/scl/fi/agvqm45l7lwgo6wt892ts/jersey-size-chartskendrick.jpg?rlkey=cn4u27nevupfq7shnf1q43s7y&amp;dl=0","Click to download SizeChart")</f>
      </c>
      <c r="C1151" s="0" t="inlineStr">
        <is>
          <t>Kendrick Men's Relaxed Bike Jersey</t>
        </is>
      </c>
      <c r="D1151" s="1">
        <v>152305</v>
      </c>
      <c r="E1151" s="0" t="inlineStr">
        <is>
          <t>IOWA KENDRI M BK:152305Z-12PK</t>
        </is>
      </c>
      <c r="F1151" s="2">
        <v>800152305998</v>
      </c>
      <c r="G1151" s="0" t="inlineStr">
        <is>
          <t>MENS</t>
        </is>
      </c>
      <c r="H1151" s="0" t="inlineStr">
        <is>
          <t>12 PACK</t>
        </is>
      </c>
      <c r="I1151" s="0">
        <v>868.7</v>
      </c>
      <c r="J1151" s="0">
        <v>0</v>
      </c>
    </row>
    <row r="1152" spans="1:10" customHeight="0">
      <c r="A1152" s="0">
        <f>HYPERLINK("https://dl.dropboxusercontent.com/scl/fi/wwi3rbcbuz6rx9ubz5ijf/kendrickt.jpg?rlkey=6m4y6fb9c8qbmboz3ugpt51f3&amp;dl=0","Click to download Image")</f>
      </c>
      <c r="B1152" s="0">
        <f>HYPERLINK("https://dl.dropboxusercontent.com/scl/fi/s5l6rk6pbvrqcs8y2k4cs/jersey-size-chartskendrick.jpg?rlkey=db00w3ukoywjt2jcci24wq2hx&amp;dl=0","Click to download SizeChart")</f>
      </c>
      <c r="C1152" s="0" t="inlineStr">
        <is>
          <t>Kendrick Men's Bike Jersey</t>
        </is>
      </c>
      <c r="D1152" s="1">
        <v>125948</v>
      </c>
      <c r="E1152" s="0" t="inlineStr">
        <is>
          <t>IOWA M KENDRI BK:125948A-S</t>
        </is>
      </c>
      <c r="F1152" s="2">
        <v>800125948047</v>
      </c>
      <c r="G1152" s="0" t="inlineStr">
        <is>
          <t>MENS</t>
        </is>
      </c>
      <c r="H1152" s="0" t="inlineStr">
        <is>
          <t>S</t>
        </is>
      </c>
      <c r="I1152" s="0">
        <v>89.99</v>
      </c>
      <c r="J1152" s="0">
        <v>11</v>
      </c>
    </row>
    <row r="1153" spans="1:10" customHeight="0">
      <c r="A1153" s="0">
        <f>HYPERLINK("https://dl.dropboxusercontent.com/scl/fi/wwi3rbcbuz6rx9ubz5ijf/kendrickt.jpg?rlkey=6m4y6fb9c8qbmboz3ugpt51f3&amp;dl=0","Click to download Image")</f>
      </c>
      <c r="B1153" s="0">
        <f>HYPERLINK("https://dl.dropboxusercontent.com/scl/fi/s5l6rk6pbvrqcs8y2k4cs/jersey-size-chartskendrick.jpg?rlkey=db00w3ukoywjt2jcci24wq2hx&amp;dl=0","Click to download SizeChart")</f>
      </c>
      <c r="C1153" s="0" t="inlineStr">
        <is>
          <t>Kendrick Men's Bike Jersey</t>
        </is>
      </c>
      <c r="D1153" s="1">
        <v>125948</v>
      </c>
      <c r="E1153" s="0" t="inlineStr">
        <is>
          <t>IOWA M KENDRI BK:125948B-M</t>
        </is>
      </c>
      <c r="F1153" s="2">
        <v>800125948054</v>
      </c>
      <c r="G1153" s="0" t="inlineStr">
        <is>
          <t>MENS</t>
        </is>
      </c>
      <c r="H1153" s="0" t="inlineStr">
        <is>
          <t>M</t>
        </is>
      </c>
      <c r="I1153" s="0">
        <v>89.99</v>
      </c>
      <c r="J1153" s="0">
        <v>18</v>
      </c>
    </row>
    <row r="1154" spans="1:10" customHeight="0">
      <c r="A1154" s="0">
        <f>HYPERLINK("https://dl.dropboxusercontent.com/scl/fi/wwi3rbcbuz6rx9ubz5ijf/kendrickt.jpg?rlkey=6m4y6fb9c8qbmboz3ugpt51f3&amp;dl=0","Click to download Image")</f>
      </c>
      <c r="B1154" s="0">
        <f>HYPERLINK("https://dl.dropboxusercontent.com/scl/fi/s5l6rk6pbvrqcs8y2k4cs/jersey-size-chartskendrick.jpg?rlkey=db00w3ukoywjt2jcci24wq2hx&amp;dl=0","Click to download SizeChart")</f>
      </c>
      <c r="C1154" s="0" t="inlineStr">
        <is>
          <t>Kendrick Men's Bike Jersey</t>
        </is>
      </c>
      <c r="D1154" s="1">
        <v>125948</v>
      </c>
      <c r="E1154" s="0" t="inlineStr">
        <is>
          <t>IOWA M KENDRI BK:125948C-L</t>
        </is>
      </c>
      <c r="F1154" s="2">
        <v>800125948061</v>
      </c>
      <c r="G1154" s="0" t="inlineStr">
        <is>
          <t>MENS</t>
        </is>
      </c>
      <c r="H1154" s="0" t="inlineStr">
        <is>
          <t>L</t>
        </is>
      </c>
      <c r="I1154" s="0">
        <v>89.99</v>
      </c>
      <c r="J1154" s="0">
        <v>24</v>
      </c>
    </row>
    <row r="1155" spans="1:10" customHeight="0">
      <c r="A1155" s="0">
        <f>HYPERLINK("https://dl.dropboxusercontent.com/scl/fi/wwi3rbcbuz6rx9ubz5ijf/kendrickt.jpg?rlkey=6m4y6fb9c8qbmboz3ugpt51f3&amp;dl=0","Click to download Image")</f>
      </c>
      <c r="B1155" s="0">
        <f>HYPERLINK("https://dl.dropboxusercontent.com/scl/fi/s5l6rk6pbvrqcs8y2k4cs/jersey-size-chartskendrick.jpg?rlkey=db00w3ukoywjt2jcci24wq2hx&amp;dl=0","Click to download SizeChart")</f>
      </c>
      <c r="C1155" s="0" t="inlineStr">
        <is>
          <t>Kendrick Men's Bike Jersey</t>
        </is>
      </c>
      <c r="D1155" s="1">
        <v>125948</v>
      </c>
      <c r="E1155" s="0" t="inlineStr">
        <is>
          <t>IOWA M KENDRI BK:125948D-XL</t>
        </is>
      </c>
      <c r="F1155" s="2">
        <v>800125948078</v>
      </c>
      <c r="G1155" s="0" t="inlineStr">
        <is>
          <t>MENS</t>
        </is>
      </c>
      <c r="H1155" s="0" t="inlineStr">
        <is>
          <t>XL</t>
        </is>
      </c>
      <c r="I1155" s="0">
        <v>89.99</v>
      </c>
      <c r="J1155" s="0">
        <v>21</v>
      </c>
    </row>
    <row r="1156" spans="1:10" customHeight="0">
      <c r="A1156" s="0">
        <f>HYPERLINK("https://dl.dropboxusercontent.com/scl/fi/wwi3rbcbuz6rx9ubz5ijf/kendrickt.jpg?rlkey=6m4y6fb9c8qbmboz3ugpt51f3&amp;dl=0","Click to download Image")</f>
      </c>
      <c r="B1156" s="0">
        <f>HYPERLINK("https://dl.dropboxusercontent.com/scl/fi/s5l6rk6pbvrqcs8y2k4cs/jersey-size-chartskendrick.jpg?rlkey=db00w3ukoywjt2jcci24wq2hx&amp;dl=0","Click to download SizeChart")</f>
      </c>
      <c r="C1156" s="0" t="inlineStr">
        <is>
          <t>Kendrick Men's Bike Jersey</t>
        </is>
      </c>
      <c r="D1156" s="1">
        <v>125948</v>
      </c>
      <c r="E1156" s="0" t="inlineStr">
        <is>
          <t>IOWA M KENDRI BK:125948E-2XL</t>
        </is>
      </c>
      <c r="F1156" s="2">
        <v>800125948085</v>
      </c>
      <c r="G1156" s="0" t="inlineStr">
        <is>
          <t>MENS</t>
        </is>
      </c>
      <c r="H1156" s="0" t="inlineStr">
        <is>
          <t>2XL</t>
        </is>
      </c>
      <c r="I1156" s="0">
        <v>89.99</v>
      </c>
      <c r="J1156" s="0">
        <v>13</v>
      </c>
    </row>
    <row r="1157" spans="1:10" customHeight="0">
      <c r="A1157" s="0">
        <f>HYPERLINK("https://dl.dropboxusercontent.com/scl/fi/wwi3rbcbuz6rx9ubz5ijf/kendrickt.jpg?rlkey=6m4y6fb9c8qbmboz3ugpt51f3&amp;dl=0","Click to download Image")</f>
      </c>
      <c r="B1157" s="0">
        <f>HYPERLINK("https://dl.dropboxusercontent.com/scl/fi/s5l6rk6pbvrqcs8y2k4cs/jersey-size-chartskendrick.jpg?rlkey=db00w3ukoywjt2jcci24wq2hx&amp;dl=0","Click to download SizeChart")</f>
      </c>
      <c r="C1157" s="0" t="inlineStr">
        <is>
          <t>Kendrick Men's Bike Jersey</t>
        </is>
      </c>
      <c r="D1157" s="1">
        <v>125948</v>
      </c>
      <c r="E1157" s="0" t="inlineStr">
        <is>
          <t>IOWA M KENDRI BK:125948F-3XL</t>
        </is>
      </c>
      <c r="F1157" s="2">
        <v>800125948092</v>
      </c>
      <c r="G1157" s="0" t="inlineStr">
        <is>
          <t>MENS</t>
        </is>
      </c>
      <c r="H1157" s="0" t="inlineStr">
        <is>
          <t>3XL</t>
        </is>
      </c>
      <c r="I1157" s="0">
        <v>89.99</v>
      </c>
      <c r="J1157" s="0">
        <v>12</v>
      </c>
    </row>
    <row r="1158" spans="1:10" customHeight="0">
      <c r="A1158" s="0">
        <f>HYPERLINK("https://dl.dropboxusercontent.com/scl/fi/wwi3rbcbuz6rx9ubz5ijf/kendrickt.jpg?rlkey=6m4y6fb9c8qbmboz3ugpt51f3&amp;dl=0","Click to download Image")</f>
      </c>
      <c r="B1158" s="0">
        <f>HYPERLINK("https://dl.dropboxusercontent.com/scl/fi/s5l6rk6pbvrqcs8y2k4cs/jersey-size-chartskendrick.jpg?rlkey=db00w3ukoywjt2jcci24wq2hx&amp;dl=0","Click to download SizeChart")</f>
      </c>
      <c r="C1158" s="0" t="inlineStr">
        <is>
          <t>Kendrick Men's Bike Jersey</t>
        </is>
      </c>
      <c r="D1158" s="1">
        <v>125948</v>
      </c>
      <c r="E1158" s="0" t="inlineStr">
        <is>
          <t>IOWA M KENDRI BK:125948Z-12PK</t>
        </is>
      </c>
      <c r="F1158" s="2">
        <v>800125948993</v>
      </c>
      <c r="G1158" s="0" t="inlineStr">
        <is>
          <t>MENS</t>
        </is>
      </c>
      <c r="H1158" s="0" t="inlineStr">
        <is>
          <t>12 PACK</t>
        </is>
      </c>
      <c r="I1158" s="0">
        <v>859.2</v>
      </c>
      <c r="J1158" s="0">
        <v>0</v>
      </c>
    </row>
    <row r="1159" spans="1:10" customHeight="0">
      <c r="A1159" s="0">
        <f>HYPERLINK("https://dl.dropboxusercontent.com/scl/fi/8lmkl21o01py5lx6wncq4/jordynt.jpg?rlkey=wtp47vxr0fluoslalirtwob2c&amp;dl=0","Click to download Image")</f>
      </c>
      <c r="B1159" s="0">
        <f>HYPERLINK("https://dl.dropboxusercontent.com/scl/fi/jmz446qazklt38fkk6wxl/womens-jersey-size-chartsjordyn.jpg?rlkey=7d09tcq4mmgdrt2q3zvh6t9hi&amp;dl=0","Click to download SizeChart")</f>
      </c>
      <c r="C1159" s="0" t="inlineStr">
        <is>
          <t>Jordyn Women's Bike Jersey Tank</t>
        </is>
      </c>
      <c r="D1159" s="1">
        <v>125944</v>
      </c>
      <c r="E1159" s="0" t="inlineStr">
        <is>
          <t>IOWA JORDYN W BK:125944A-S</t>
        </is>
      </c>
      <c r="F1159" s="2">
        <v>800125944049</v>
      </c>
      <c r="G1159" s="0" t="inlineStr">
        <is>
          <t>WOMENS</t>
        </is>
      </c>
      <c r="H1159" s="0" t="inlineStr">
        <is>
          <t>S</t>
        </is>
      </c>
      <c r="I1159" s="0">
        <v>89.99</v>
      </c>
      <c r="J1159" s="0">
        <v>4</v>
      </c>
    </row>
    <row r="1160" spans="1:10" customHeight="0">
      <c r="A1160" s="0">
        <f>HYPERLINK("https://dl.dropboxusercontent.com/scl/fi/8lmkl21o01py5lx6wncq4/jordynt.jpg?rlkey=wtp47vxr0fluoslalirtwob2c&amp;dl=0","Click to download Image")</f>
      </c>
      <c r="B1160" s="0">
        <f>HYPERLINK("https://dl.dropboxusercontent.com/scl/fi/jmz446qazklt38fkk6wxl/womens-jersey-size-chartsjordyn.jpg?rlkey=7d09tcq4mmgdrt2q3zvh6t9hi&amp;dl=0","Click to download SizeChart")</f>
      </c>
      <c r="C1160" s="0" t="inlineStr">
        <is>
          <t>Jordyn Women's Bike Jersey Tank</t>
        </is>
      </c>
      <c r="D1160" s="1">
        <v>125944</v>
      </c>
      <c r="E1160" s="0" t="inlineStr">
        <is>
          <t>IOWA JORDYN W BK:125944B-M</t>
        </is>
      </c>
      <c r="F1160" s="2">
        <v>800125944056</v>
      </c>
      <c r="G1160" s="0" t="inlineStr">
        <is>
          <t>WOMENS</t>
        </is>
      </c>
      <c r="H1160" s="0" t="inlineStr">
        <is>
          <t>M</t>
        </is>
      </c>
      <c r="I1160" s="0">
        <v>89.99</v>
      </c>
      <c r="J1160" s="0">
        <v>10</v>
      </c>
    </row>
    <row r="1161" spans="1:10" customHeight="0">
      <c r="A1161" s="0">
        <f>HYPERLINK("https://dl.dropboxusercontent.com/scl/fi/8lmkl21o01py5lx6wncq4/jordynt.jpg?rlkey=wtp47vxr0fluoslalirtwob2c&amp;dl=0","Click to download Image")</f>
      </c>
      <c r="B1161" s="0">
        <f>HYPERLINK("https://dl.dropboxusercontent.com/scl/fi/jmz446qazklt38fkk6wxl/womens-jersey-size-chartsjordyn.jpg?rlkey=7d09tcq4mmgdrt2q3zvh6t9hi&amp;dl=0","Click to download SizeChart")</f>
      </c>
      <c r="C1161" s="0" t="inlineStr">
        <is>
          <t>Jordyn Women's Bike Jersey Tank</t>
        </is>
      </c>
      <c r="D1161" s="1">
        <v>125944</v>
      </c>
      <c r="E1161" s="0" t="inlineStr">
        <is>
          <t>IOWA JORDYN W BK:125944C-L</t>
        </is>
      </c>
      <c r="F1161" s="2">
        <v>800125944063</v>
      </c>
      <c r="G1161" s="0" t="inlineStr">
        <is>
          <t>WOMENS</t>
        </is>
      </c>
      <c r="H1161" s="0" t="inlineStr">
        <is>
          <t>L</t>
        </is>
      </c>
      <c r="I1161" s="0">
        <v>89.99</v>
      </c>
      <c r="J1161" s="0">
        <v>18</v>
      </c>
    </row>
    <row r="1162" spans="1:10" customHeight="0">
      <c r="A1162" s="0">
        <f>HYPERLINK("https://dl.dropboxusercontent.com/scl/fi/8lmkl21o01py5lx6wncq4/jordynt.jpg?rlkey=wtp47vxr0fluoslalirtwob2c&amp;dl=0","Click to download Image")</f>
      </c>
      <c r="B1162" s="0">
        <f>HYPERLINK("https://dl.dropboxusercontent.com/scl/fi/jmz446qazklt38fkk6wxl/womens-jersey-size-chartsjordyn.jpg?rlkey=7d09tcq4mmgdrt2q3zvh6t9hi&amp;dl=0","Click to download SizeChart")</f>
      </c>
      <c r="C1162" s="0" t="inlineStr">
        <is>
          <t>Jordyn Women's Bike Jersey Tank</t>
        </is>
      </c>
      <c r="D1162" s="1">
        <v>125944</v>
      </c>
      <c r="E1162" s="0" t="inlineStr">
        <is>
          <t>IOWA JORDYN W BK:125944D-XL</t>
        </is>
      </c>
      <c r="F1162" s="2">
        <v>800125944070</v>
      </c>
      <c r="G1162" s="0" t="inlineStr">
        <is>
          <t>WOMENS</t>
        </is>
      </c>
      <c r="H1162" s="0" t="inlineStr">
        <is>
          <t>XL</t>
        </is>
      </c>
      <c r="I1162" s="0">
        <v>89.99</v>
      </c>
      <c r="J1162" s="0">
        <v>8</v>
      </c>
    </row>
    <row r="1163" spans="1:10" customHeight="0">
      <c r="A1163" s="0">
        <f>HYPERLINK("https://dl.dropboxusercontent.com/scl/fi/8lmkl21o01py5lx6wncq4/jordynt.jpg?rlkey=wtp47vxr0fluoslalirtwob2c&amp;dl=0","Click to download Image")</f>
      </c>
      <c r="B1163" s="0">
        <f>HYPERLINK("https://dl.dropboxusercontent.com/scl/fi/jmz446qazklt38fkk6wxl/womens-jersey-size-chartsjordyn.jpg?rlkey=7d09tcq4mmgdrt2q3zvh6t9hi&amp;dl=0","Click to download SizeChart")</f>
      </c>
      <c r="C1163" s="0" t="inlineStr">
        <is>
          <t>Jordyn Women's Bike Jersey Tank</t>
        </is>
      </c>
      <c r="D1163" s="1">
        <v>125944</v>
      </c>
      <c r="E1163" s="0" t="inlineStr">
        <is>
          <t>IOWA JORDYN W BK:125944E-2XL</t>
        </is>
      </c>
      <c r="F1163" s="2">
        <v>800125944087</v>
      </c>
      <c r="G1163" s="0" t="inlineStr">
        <is>
          <t>WOMENS</t>
        </is>
      </c>
      <c r="H1163" s="0" t="inlineStr">
        <is>
          <t>2XL</t>
        </is>
      </c>
      <c r="I1163" s="0">
        <v>89.99</v>
      </c>
      <c r="J1163" s="0">
        <v>3</v>
      </c>
    </row>
    <row r="1164" spans="1:10" customHeight="0">
      <c r="A1164" s="0">
        <f>HYPERLINK("https://dl.dropboxusercontent.com/scl/fi/8lmkl21o01py5lx6wncq4/jordynt.jpg?rlkey=wtp47vxr0fluoslalirtwob2c&amp;dl=0","Click to download Image")</f>
      </c>
      <c r="B1164" s="0">
        <f>HYPERLINK("https://dl.dropboxusercontent.com/scl/fi/jmz446qazklt38fkk6wxl/womens-jersey-size-chartsjordyn.jpg?rlkey=7d09tcq4mmgdrt2q3zvh6t9hi&amp;dl=0","Click to download SizeChart")</f>
      </c>
      <c r="C1164" s="0" t="inlineStr">
        <is>
          <t>Jordyn Women's Bike Jersey Tank</t>
        </is>
      </c>
      <c r="D1164" s="1">
        <v>125944</v>
      </c>
      <c r="E1164" s="0" t="inlineStr">
        <is>
          <t>IOWA JORDYN W BK:125944F-3XL</t>
        </is>
      </c>
      <c r="F1164" s="2">
        <v>800125944094</v>
      </c>
      <c r="G1164" s="0" t="inlineStr">
        <is>
          <t>WOMENS</t>
        </is>
      </c>
      <c r="H1164" s="0" t="inlineStr">
        <is>
          <t>3XL</t>
        </is>
      </c>
      <c r="I1164" s="0">
        <v>89.99</v>
      </c>
      <c r="J1164" s="0">
        <v>4</v>
      </c>
    </row>
    <row r="1165" spans="1:10" customHeight="0">
      <c r="A1165" s="0">
        <f>HYPERLINK("https://dl.dropboxusercontent.com/scl/fi/8lmkl21o01py5lx6wncq4/jordynt.jpg?rlkey=wtp47vxr0fluoslalirtwob2c&amp;dl=0","Click to download Image")</f>
      </c>
      <c r="B1165" s="0">
        <f>HYPERLINK("https://dl.dropboxusercontent.com/scl/fi/jmz446qazklt38fkk6wxl/womens-jersey-size-chartsjordyn.jpg?rlkey=7d09tcq4mmgdrt2q3zvh6t9hi&amp;dl=0","Click to download SizeChart")</f>
      </c>
      <c r="C1165" s="0" t="inlineStr">
        <is>
          <t>Jordyn Women's Bike Jersey Tank</t>
        </is>
      </c>
      <c r="D1165" s="1">
        <v>125944</v>
      </c>
      <c r="E1165" s="0" t="inlineStr">
        <is>
          <t>IOWA JORDYN W BK:125944Z-12PK</t>
        </is>
      </c>
      <c r="F1165" s="2">
        <v>800125944995</v>
      </c>
      <c r="G1165" s="0" t="inlineStr">
        <is>
          <t>WOMENS</t>
        </is>
      </c>
      <c r="H1165" s="0" t="inlineStr">
        <is>
          <t>12 PACK</t>
        </is>
      </c>
      <c r="I1165" s="0">
        <v>859.2</v>
      </c>
      <c r="J1165" s="0">
        <v>0</v>
      </c>
    </row>
    <row r="1166" spans="1:10" customHeight="0">
      <c r="A1166" s="0">
        <f>HYPERLINK("https://dl.dropboxusercontent.com/scl/fi/52fvycsj3u9uujhhipk01/jordyn.jpg?rlkey=205e1pzerwkwpdguvudr4rkeg&amp;dl=0","Click to download Image")</f>
      </c>
      <c r="B1166" s="0">
        <f>HYPERLINK("https://dl.dropboxusercontent.com/scl/fi/3ydbyjfdkuyzggo3hlnj8/womens-jersey-size-chartsjordyn.jpg?rlkey=re001gzem39ol6zcw5asfrrrq&amp;dl=0","Click to download SizeChart")</f>
      </c>
      <c r="C1166" s="0" t="inlineStr">
        <is>
          <t>Jordyn Women's Fitted Bike Jersey</t>
        </is>
      </c>
      <c r="D1166" s="1">
        <v>152281</v>
      </c>
      <c r="E1166" s="0" t="inlineStr">
        <is>
          <t>IOWA JORDYN W BK:152281A-S</t>
        </is>
      </c>
      <c r="F1166" s="2">
        <v>800152281049</v>
      </c>
      <c r="G1166" s="0" t="inlineStr">
        <is>
          <t>WOMENS</t>
        </is>
      </c>
      <c r="H1166" s="0" t="inlineStr">
        <is>
          <t>S</t>
        </is>
      </c>
      <c r="I1166" s="0">
        <v>89.99</v>
      </c>
      <c r="J1166" s="0">
        <v>12</v>
      </c>
    </row>
    <row r="1167" spans="1:10" customHeight="0">
      <c r="A1167" s="0">
        <f>HYPERLINK("https://dl.dropboxusercontent.com/scl/fi/52fvycsj3u9uujhhipk01/jordyn.jpg?rlkey=205e1pzerwkwpdguvudr4rkeg&amp;dl=0","Click to download Image")</f>
      </c>
      <c r="B1167" s="0">
        <f>HYPERLINK("https://dl.dropboxusercontent.com/scl/fi/3ydbyjfdkuyzggo3hlnj8/womens-jersey-size-chartsjordyn.jpg?rlkey=re001gzem39ol6zcw5asfrrrq&amp;dl=0","Click to download SizeChart")</f>
      </c>
      <c r="C1167" s="0" t="inlineStr">
        <is>
          <t>Jordyn Women's Fitted Bike Jersey</t>
        </is>
      </c>
      <c r="D1167" s="1">
        <v>152281</v>
      </c>
      <c r="E1167" s="0" t="inlineStr">
        <is>
          <t>IOWA JORDYN W BK:152281B-M</t>
        </is>
      </c>
      <c r="F1167" s="2">
        <v>800152281056</v>
      </c>
      <c r="G1167" s="0" t="inlineStr">
        <is>
          <t>WOMENS</t>
        </is>
      </c>
      <c r="H1167" s="0" t="inlineStr">
        <is>
          <t>M</t>
        </is>
      </c>
      <c r="I1167" s="0">
        <v>89.99</v>
      </c>
      <c r="J1167" s="0">
        <v>19</v>
      </c>
    </row>
    <row r="1168" spans="1:10" customHeight="0">
      <c r="A1168" s="0">
        <f>HYPERLINK("https://dl.dropboxusercontent.com/scl/fi/52fvycsj3u9uujhhipk01/jordyn.jpg?rlkey=205e1pzerwkwpdguvudr4rkeg&amp;dl=0","Click to download Image")</f>
      </c>
      <c r="B1168" s="0">
        <f>HYPERLINK("https://dl.dropboxusercontent.com/scl/fi/3ydbyjfdkuyzggo3hlnj8/womens-jersey-size-chartsjordyn.jpg?rlkey=re001gzem39ol6zcw5asfrrrq&amp;dl=0","Click to download SizeChart")</f>
      </c>
      <c r="C1168" s="0" t="inlineStr">
        <is>
          <t>Jordyn Women's Fitted Bike Jersey</t>
        </is>
      </c>
      <c r="D1168" s="1">
        <v>152281</v>
      </c>
      <c r="E1168" s="0" t="inlineStr">
        <is>
          <t>IOWA JORDYN W BK:152281C-L</t>
        </is>
      </c>
      <c r="F1168" s="2">
        <v>800152281063</v>
      </c>
      <c r="G1168" s="0" t="inlineStr">
        <is>
          <t>WOMENS</t>
        </is>
      </c>
      <c r="H1168" s="0" t="inlineStr">
        <is>
          <t>L</t>
        </is>
      </c>
      <c r="I1168" s="0">
        <v>89.99</v>
      </c>
      <c r="J1168" s="0">
        <v>19</v>
      </c>
    </row>
    <row r="1169" spans="1:10" customHeight="0">
      <c r="A1169" s="0">
        <f>HYPERLINK("https://dl.dropboxusercontent.com/scl/fi/52fvycsj3u9uujhhipk01/jordyn.jpg?rlkey=205e1pzerwkwpdguvudr4rkeg&amp;dl=0","Click to download Image")</f>
      </c>
      <c r="B1169" s="0">
        <f>HYPERLINK("https://dl.dropboxusercontent.com/scl/fi/3ydbyjfdkuyzggo3hlnj8/womens-jersey-size-chartsjordyn.jpg?rlkey=re001gzem39ol6zcw5asfrrrq&amp;dl=0","Click to download SizeChart")</f>
      </c>
      <c r="C1169" s="0" t="inlineStr">
        <is>
          <t>Jordyn Women's Fitted Bike Jersey</t>
        </is>
      </c>
      <c r="D1169" s="1">
        <v>152281</v>
      </c>
      <c r="E1169" s="0" t="inlineStr">
        <is>
          <t>IOWA JORDYN W BK:152281D-XL</t>
        </is>
      </c>
      <c r="F1169" s="2">
        <v>800152281070</v>
      </c>
      <c r="G1169" s="0" t="inlineStr">
        <is>
          <t>WOMENS</t>
        </is>
      </c>
      <c r="H1169" s="0" t="inlineStr">
        <is>
          <t>XL</t>
        </is>
      </c>
      <c r="I1169" s="0">
        <v>89.99</v>
      </c>
      <c r="J1169" s="0">
        <v>9</v>
      </c>
    </row>
    <row r="1170" spans="1:10" customHeight="0">
      <c r="A1170" s="0">
        <f>HYPERLINK("https://dl.dropboxusercontent.com/scl/fi/52fvycsj3u9uujhhipk01/jordyn.jpg?rlkey=205e1pzerwkwpdguvudr4rkeg&amp;dl=0","Click to download Image")</f>
      </c>
      <c r="B1170" s="0">
        <f>HYPERLINK("https://dl.dropboxusercontent.com/scl/fi/3ydbyjfdkuyzggo3hlnj8/womens-jersey-size-chartsjordyn.jpg?rlkey=re001gzem39ol6zcw5asfrrrq&amp;dl=0","Click to download SizeChart")</f>
      </c>
      <c r="C1170" s="0" t="inlineStr">
        <is>
          <t>Jordyn Women's Fitted Bike Jersey</t>
        </is>
      </c>
      <c r="D1170" s="1">
        <v>152281</v>
      </c>
      <c r="E1170" s="0" t="inlineStr">
        <is>
          <t>IOWA JORDYN W BK:152281E-2XL</t>
        </is>
      </c>
      <c r="F1170" s="2">
        <v>800152281087</v>
      </c>
      <c r="G1170" s="0" t="inlineStr">
        <is>
          <t>WOMENS</t>
        </is>
      </c>
      <c r="H1170" s="0" t="inlineStr">
        <is>
          <t>2XL</t>
        </is>
      </c>
      <c r="I1170" s="0">
        <v>97.99</v>
      </c>
      <c r="J1170" s="0">
        <v>3</v>
      </c>
    </row>
    <row r="1171" spans="1:10" customHeight="0">
      <c r="A1171" s="0">
        <f>HYPERLINK("https://dl.dropboxusercontent.com/scl/fi/52fvycsj3u9uujhhipk01/jordyn.jpg?rlkey=205e1pzerwkwpdguvudr4rkeg&amp;dl=0","Click to download Image")</f>
      </c>
      <c r="B1171" s="0">
        <f>HYPERLINK("https://dl.dropboxusercontent.com/scl/fi/3ydbyjfdkuyzggo3hlnj8/womens-jersey-size-chartsjordyn.jpg?rlkey=re001gzem39ol6zcw5asfrrrq&amp;dl=0","Click to download SizeChart")</f>
      </c>
      <c r="C1171" s="0" t="inlineStr">
        <is>
          <t>Jordyn Women's Fitted Bike Jersey</t>
        </is>
      </c>
      <c r="D1171" s="1">
        <v>152281</v>
      </c>
      <c r="E1171" s="0" t="inlineStr">
        <is>
          <t>IOWA JORDYN W BK:152281F-3XL</t>
        </is>
      </c>
      <c r="F1171" s="2">
        <v>800152281094</v>
      </c>
      <c r="G1171" s="0" t="inlineStr">
        <is>
          <t>WOMENS</t>
        </is>
      </c>
      <c r="H1171" s="0" t="inlineStr">
        <is>
          <t>3XL</t>
        </is>
      </c>
      <c r="I1171" s="0">
        <v>97.99</v>
      </c>
      <c r="J1171" s="0">
        <v>0</v>
      </c>
    </row>
    <row r="1172" spans="1:10" customHeight="0">
      <c r="A1172" s="0">
        <f>HYPERLINK("https://dl.dropboxusercontent.com/scl/fi/52fvycsj3u9uujhhipk01/jordyn.jpg?rlkey=205e1pzerwkwpdguvudr4rkeg&amp;dl=0","Click to download Image")</f>
      </c>
      <c r="B1172" s="0">
        <f>HYPERLINK("https://dl.dropboxusercontent.com/scl/fi/3ydbyjfdkuyzggo3hlnj8/womens-jersey-size-chartsjordyn.jpg?rlkey=re001gzem39ol6zcw5asfrrrq&amp;dl=0","Click to download SizeChart")</f>
      </c>
      <c r="C1172" s="0" t="inlineStr">
        <is>
          <t>Jordyn Women's Fitted Bike Jersey</t>
        </is>
      </c>
      <c r="D1172" s="1">
        <v>152281</v>
      </c>
      <c r="E1172" s="0" t="inlineStr">
        <is>
          <t>IOWA JORDYN W BK:152281Z-12PK</t>
        </is>
      </c>
      <c r="F1172" s="2">
        <v>800152281995</v>
      </c>
      <c r="G1172" s="0" t="inlineStr">
        <is>
          <t>WOMENS</t>
        </is>
      </c>
      <c r="H1172" s="0" t="inlineStr">
        <is>
          <t>12 PACK</t>
        </is>
      </c>
      <c r="I1172" s="0">
        <v>870</v>
      </c>
      <c r="J1172" s="0">
        <v>0</v>
      </c>
    </row>
    <row r="1173" spans="1:10" customHeight="0">
      <c r="A1173" s="0">
        <f>HYPERLINK("https://dl.dropboxusercontent.com/scl/fi/gq4dd0bg3go30offupn6x/125586t.jpg?rlkey=8inmfi2uwwgd85qmb0d8zxbk4&amp;dl=0","Click to download Image")</f>
      </c>
      <c r="B1173" s="0">
        <f>HYPERLINK("https://dl.dropboxusercontent.com/scl/fi/yxzkbpquq354rg3wjoky4/jersey-size-chartsjourney.jpg?rlkey=9jbucn0u3j0ep3c1xzq84iike&amp;dl=0","Click to download SizeChart")</f>
      </c>
      <c r="C1173" s="0" t="inlineStr">
        <is>
          <t>Journey Men's Semi-Fitted Bike Jersey</t>
        </is>
      </c>
      <c r="D1173" s="1">
        <v>125586</v>
      </c>
      <c r="E1173" s="0" t="inlineStr">
        <is>
          <t>IOWA M JOURNE BK:125586A-S</t>
        </is>
      </c>
      <c r="F1173" s="2">
        <v>800125586041</v>
      </c>
      <c r="G1173" s="0" t="inlineStr">
        <is>
          <t>MENS</t>
        </is>
      </c>
      <c r="H1173" s="0" t="inlineStr">
        <is>
          <t>S</t>
        </is>
      </c>
      <c r="I1173" s="0">
        <v>89.99</v>
      </c>
      <c r="J1173" s="0">
        <v>7</v>
      </c>
    </row>
    <row r="1174" spans="1:10" customHeight="0">
      <c r="A1174" s="0">
        <f>HYPERLINK("https://dl.dropboxusercontent.com/scl/fi/gq4dd0bg3go30offupn6x/125586t.jpg?rlkey=8inmfi2uwwgd85qmb0d8zxbk4&amp;dl=0","Click to download Image")</f>
      </c>
      <c r="B1174" s="0">
        <f>HYPERLINK("https://dl.dropboxusercontent.com/scl/fi/yxzkbpquq354rg3wjoky4/jersey-size-chartsjourney.jpg?rlkey=9jbucn0u3j0ep3c1xzq84iike&amp;dl=0","Click to download SizeChart")</f>
      </c>
      <c r="C1174" s="0" t="inlineStr">
        <is>
          <t>Journey Men's Semi-Fitted Bike Jersey</t>
        </is>
      </c>
      <c r="D1174" s="1">
        <v>125586</v>
      </c>
      <c r="E1174" s="0" t="inlineStr">
        <is>
          <t>IOWA M JOURNE BK:125586B-M</t>
        </is>
      </c>
      <c r="F1174" s="2">
        <v>800125586058</v>
      </c>
      <c r="G1174" s="0" t="inlineStr">
        <is>
          <t>MENS</t>
        </is>
      </c>
      <c r="H1174" s="0" t="inlineStr">
        <is>
          <t>M</t>
        </is>
      </c>
      <c r="I1174" s="0">
        <v>89.99</v>
      </c>
      <c r="J1174" s="0">
        <v>15</v>
      </c>
    </row>
    <row r="1175" spans="1:10" customHeight="0">
      <c r="A1175" s="0">
        <f>HYPERLINK("https://dl.dropboxusercontent.com/scl/fi/gq4dd0bg3go30offupn6x/125586t.jpg?rlkey=8inmfi2uwwgd85qmb0d8zxbk4&amp;dl=0","Click to download Image")</f>
      </c>
      <c r="B1175" s="0">
        <f>HYPERLINK("https://dl.dropboxusercontent.com/scl/fi/yxzkbpquq354rg3wjoky4/jersey-size-chartsjourney.jpg?rlkey=9jbucn0u3j0ep3c1xzq84iike&amp;dl=0","Click to download SizeChart")</f>
      </c>
      <c r="C1175" s="0" t="inlineStr">
        <is>
          <t>Journey Men's Semi-Fitted Bike Jersey</t>
        </is>
      </c>
      <c r="D1175" s="1">
        <v>125586</v>
      </c>
      <c r="E1175" s="0" t="inlineStr">
        <is>
          <t>IOWA M JOURNE BK:125586C-L</t>
        </is>
      </c>
      <c r="F1175" s="2">
        <v>800125586065</v>
      </c>
      <c r="G1175" s="0" t="inlineStr">
        <is>
          <t>MENS</t>
        </is>
      </c>
      <c r="H1175" s="0" t="inlineStr">
        <is>
          <t>L</t>
        </is>
      </c>
      <c r="I1175" s="0">
        <v>89.99</v>
      </c>
      <c r="J1175" s="0">
        <v>22</v>
      </c>
    </row>
    <row r="1176" spans="1:10" customHeight="0">
      <c r="A1176" s="0">
        <f>HYPERLINK("https://dl.dropboxusercontent.com/scl/fi/gq4dd0bg3go30offupn6x/125586t.jpg?rlkey=8inmfi2uwwgd85qmb0d8zxbk4&amp;dl=0","Click to download Image")</f>
      </c>
      <c r="B1176" s="0">
        <f>HYPERLINK("https://dl.dropboxusercontent.com/scl/fi/yxzkbpquq354rg3wjoky4/jersey-size-chartsjourney.jpg?rlkey=9jbucn0u3j0ep3c1xzq84iike&amp;dl=0","Click to download SizeChart")</f>
      </c>
      <c r="C1176" s="0" t="inlineStr">
        <is>
          <t>Journey Men's Semi-Fitted Bike Jersey</t>
        </is>
      </c>
      <c r="D1176" s="1">
        <v>125586</v>
      </c>
      <c r="E1176" s="0" t="inlineStr">
        <is>
          <t>IOWA M JOURNE BK:125586D-XL</t>
        </is>
      </c>
      <c r="F1176" s="2">
        <v>800125586072</v>
      </c>
      <c r="G1176" s="0" t="inlineStr">
        <is>
          <t>MENS</t>
        </is>
      </c>
      <c r="H1176" s="0" t="inlineStr">
        <is>
          <t>XL</t>
        </is>
      </c>
      <c r="I1176" s="0">
        <v>89.99</v>
      </c>
      <c r="J1176" s="0">
        <v>16</v>
      </c>
    </row>
    <row r="1177" spans="1:10" customHeight="0">
      <c r="A1177" s="0">
        <f>HYPERLINK("https://dl.dropboxusercontent.com/scl/fi/gq4dd0bg3go30offupn6x/125586t.jpg?rlkey=8inmfi2uwwgd85qmb0d8zxbk4&amp;dl=0","Click to download Image")</f>
      </c>
      <c r="B1177" s="0">
        <f>HYPERLINK("https://dl.dropboxusercontent.com/scl/fi/yxzkbpquq354rg3wjoky4/jersey-size-chartsjourney.jpg?rlkey=9jbucn0u3j0ep3c1xzq84iike&amp;dl=0","Click to download SizeChart")</f>
      </c>
      <c r="C1177" s="0" t="inlineStr">
        <is>
          <t>Journey Men's Semi-Fitted Bike Jersey</t>
        </is>
      </c>
      <c r="D1177" s="1">
        <v>125586</v>
      </c>
      <c r="E1177" s="0" t="inlineStr">
        <is>
          <t>IOWA M JOURNE BK:125586E-2XL</t>
        </is>
      </c>
      <c r="F1177" s="2">
        <v>800125586089</v>
      </c>
      <c r="G1177" s="0" t="inlineStr">
        <is>
          <t>MENS</t>
        </is>
      </c>
      <c r="H1177" s="0" t="inlineStr">
        <is>
          <t>2XL</t>
        </is>
      </c>
      <c r="I1177" s="0">
        <v>89.99</v>
      </c>
      <c r="J1177" s="0">
        <v>14</v>
      </c>
    </row>
    <row r="1178" spans="1:10" customHeight="0">
      <c r="A1178" s="0">
        <f>HYPERLINK("https://dl.dropboxusercontent.com/scl/fi/gq4dd0bg3go30offupn6x/125586t.jpg?rlkey=8inmfi2uwwgd85qmb0d8zxbk4&amp;dl=0","Click to download Image")</f>
      </c>
      <c r="B1178" s="0">
        <f>HYPERLINK("https://dl.dropboxusercontent.com/scl/fi/yxzkbpquq354rg3wjoky4/jersey-size-chartsjourney.jpg?rlkey=9jbucn0u3j0ep3c1xzq84iike&amp;dl=0","Click to download SizeChart")</f>
      </c>
      <c r="C1178" s="0" t="inlineStr">
        <is>
          <t>Journey Men's Semi-Fitted Bike Jersey</t>
        </is>
      </c>
      <c r="D1178" s="1">
        <v>125586</v>
      </c>
      <c r="E1178" s="0" t="inlineStr">
        <is>
          <t>IOWA M JOURNE BK:125586F-3XL</t>
        </is>
      </c>
      <c r="F1178" s="2">
        <v>800125586096</v>
      </c>
      <c r="G1178" s="0" t="inlineStr">
        <is>
          <t>MENS</t>
        </is>
      </c>
      <c r="H1178" s="0" t="inlineStr">
        <is>
          <t>3XL</t>
        </is>
      </c>
      <c r="I1178" s="0">
        <v>89.99</v>
      </c>
      <c r="J1178" s="0">
        <v>10</v>
      </c>
    </row>
    <row r="1179" spans="1:10" customHeight="0">
      <c r="A1179" s="0">
        <f>HYPERLINK("https://dl.dropboxusercontent.com/scl/fi/gq4dd0bg3go30offupn6x/125586t.jpg?rlkey=8inmfi2uwwgd85qmb0d8zxbk4&amp;dl=0","Click to download Image")</f>
      </c>
      <c r="B1179" s="0">
        <f>HYPERLINK("https://dl.dropboxusercontent.com/scl/fi/yxzkbpquq354rg3wjoky4/jersey-size-chartsjourney.jpg?rlkey=9jbucn0u3j0ep3c1xzq84iike&amp;dl=0","Click to download SizeChart")</f>
      </c>
      <c r="C1179" s="0" t="inlineStr">
        <is>
          <t>Journey Men's Semi-Fitted Bike Jersey</t>
        </is>
      </c>
      <c r="D1179" s="1">
        <v>125586</v>
      </c>
      <c r="E1179" s="0" t="inlineStr">
        <is>
          <t>IOWA M JOURNE BK:125586Z-12PK</t>
        </is>
      </c>
      <c r="F1179" s="2">
        <v>800125586997</v>
      </c>
      <c r="G1179" s="0" t="inlineStr">
        <is>
          <t>MENS</t>
        </is>
      </c>
      <c r="H1179" s="0" t="inlineStr">
        <is>
          <t>12 PACK</t>
        </is>
      </c>
      <c r="I1179" s="0">
        <v>840</v>
      </c>
      <c r="J1179" s="0">
        <v>0</v>
      </c>
    </row>
    <row r="1180" spans="1:10" customHeight="0">
      <c r="A1180" s="0">
        <f>HYPERLINK("https://dl.dropboxusercontent.com/scl/fi/l12vkidn4c9gbaylhuna9/151329model-image.jpg?rlkey=fx5z77265dxou6p9t4w61aa7d&amp;dl=0","Click to download Image")</f>
      </c>
      <c r="B1180" s="0">
        <f>HYPERLINK("https://dl.dropboxusercontent.com/scl/fi/4ql16jxqo4bc01afgzurs/jersey-size-chartsjourney.jpg?rlkey=xv06m7vm3wfgkjb76d4w20s5o&amp;dl=0","Click to download SizeChart")</f>
      </c>
      <c r="C1180" s="0" t="inlineStr">
        <is>
          <t>Journey Men's Fitted Bike Jersey</t>
        </is>
      </c>
      <c r="D1180" s="1">
        <v>151329</v>
      </c>
      <c r="E1180" s="0" t="inlineStr">
        <is>
          <t>IOWA JOURNE M BK:151329A-S</t>
        </is>
      </c>
      <c r="F1180" s="2">
        <v>800151329049</v>
      </c>
      <c r="G1180" s="0" t="inlineStr">
        <is>
          <t>MENS</t>
        </is>
      </c>
      <c r="H1180" s="0" t="inlineStr">
        <is>
          <t>S</t>
        </is>
      </c>
      <c r="I1180" s="0">
        <v>89.99</v>
      </c>
      <c r="J1180" s="0">
        <v>7</v>
      </c>
    </row>
    <row r="1181" spans="1:10" customHeight="0">
      <c r="A1181" s="0">
        <f>HYPERLINK("https://dl.dropboxusercontent.com/scl/fi/l12vkidn4c9gbaylhuna9/151329model-image.jpg?rlkey=fx5z77265dxou6p9t4w61aa7d&amp;dl=0","Click to download Image")</f>
      </c>
      <c r="B1181" s="0">
        <f>HYPERLINK("https://dl.dropboxusercontent.com/scl/fi/4ql16jxqo4bc01afgzurs/jersey-size-chartsjourney.jpg?rlkey=xv06m7vm3wfgkjb76d4w20s5o&amp;dl=0","Click to download SizeChart")</f>
      </c>
      <c r="C1181" s="0" t="inlineStr">
        <is>
          <t>Journey Men's Fitted Bike Jersey</t>
        </is>
      </c>
      <c r="D1181" s="1">
        <v>151329</v>
      </c>
      <c r="E1181" s="0" t="inlineStr">
        <is>
          <t>IOWA JOURNE M BK:151329B-M</t>
        </is>
      </c>
      <c r="F1181" s="2">
        <v>800151329056</v>
      </c>
      <c r="G1181" s="0" t="inlineStr">
        <is>
          <t>MENS</t>
        </is>
      </c>
      <c r="H1181" s="0" t="inlineStr">
        <is>
          <t>M</t>
        </is>
      </c>
      <c r="I1181" s="0">
        <v>89.99</v>
      </c>
      <c r="J1181" s="0">
        <v>15</v>
      </c>
    </row>
    <row r="1182" spans="1:10" customHeight="0">
      <c r="A1182" s="0">
        <f>HYPERLINK("https://dl.dropboxusercontent.com/scl/fi/l12vkidn4c9gbaylhuna9/151329model-image.jpg?rlkey=fx5z77265dxou6p9t4w61aa7d&amp;dl=0","Click to download Image")</f>
      </c>
      <c r="B1182" s="0">
        <f>HYPERLINK("https://dl.dropboxusercontent.com/scl/fi/4ql16jxqo4bc01afgzurs/jersey-size-chartsjourney.jpg?rlkey=xv06m7vm3wfgkjb76d4w20s5o&amp;dl=0","Click to download SizeChart")</f>
      </c>
      <c r="C1182" s="0" t="inlineStr">
        <is>
          <t>Journey Men's Fitted Bike Jersey</t>
        </is>
      </c>
      <c r="D1182" s="1">
        <v>151329</v>
      </c>
      <c r="E1182" s="0" t="inlineStr">
        <is>
          <t>IOWA JOURNE M BK:151329C-L</t>
        </is>
      </c>
      <c r="F1182" s="2">
        <v>800151329063</v>
      </c>
      <c r="G1182" s="0" t="inlineStr">
        <is>
          <t>MENS</t>
        </is>
      </c>
      <c r="H1182" s="0" t="inlineStr">
        <is>
          <t>L</t>
        </is>
      </c>
      <c r="I1182" s="0">
        <v>89.99</v>
      </c>
      <c r="J1182" s="0">
        <v>23</v>
      </c>
    </row>
    <row r="1183" spans="1:10" customHeight="0">
      <c r="A1183" s="0">
        <f>HYPERLINK("https://dl.dropboxusercontent.com/scl/fi/l12vkidn4c9gbaylhuna9/151329model-image.jpg?rlkey=fx5z77265dxou6p9t4w61aa7d&amp;dl=0","Click to download Image")</f>
      </c>
      <c r="B1183" s="0">
        <f>HYPERLINK("https://dl.dropboxusercontent.com/scl/fi/4ql16jxqo4bc01afgzurs/jersey-size-chartsjourney.jpg?rlkey=xv06m7vm3wfgkjb76d4w20s5o&amp;dl=0","Click to download SizeChart")</f>
      </c>
      <c r="C1183" s="0" t="inlineStr">
        <is>
          <t>Journey Men's Fitted Bike Jersey</t>
        </is>
      </c>
      <c r="D1183" s="1">
        <v>151329</v>
      </c>
      <c r="E1183" s="0" t="inlineStr">
        <is>
          <t>IOWA JOURNE M BK:151329D-XL</t>
        </is>
      </c>
      <c r="F1183" s="2">
        <v>800151329070</v>
      </c>
      <c r="G1183" s="0" t="inlineStr">
        <is>
          <t>MENS</t>
        </is>
      </c>
      <c r="H1183" s="0" t="inlineStr">
        <is>
          <t>XL</t>
        </is>
      </c>
      <c r="I1183" s="0">
        <v>89.99</v>
      </c>
      <c r="J1183" s="0">
        <v>23</v>
      </c>
    </row>
    <row r="1184" spans="1:10" customHeight="0">
      <c r="A1184" s="0">
        <f>HYPERLINK("https://dl.dropboxusercontent.com/scl/fi/l12vkidn4c9gbaylhuna9/151329model-image.jpg?rlkey=fx5z77265dxou6p9t4w61aa7d&amp;dl=0","Click to download Image")</f>
      </c>
      <c r="B1184" s="0">
        <f>HYPERLINK("https://dl.dropboxusercontent.com/scl/fi/4ql16jxqo4bc01afgzurs/jersey-size-chartsjourney.jpg?rlkey=xv06m7vm3wfgkjb76d4w20s5o&amp;dl=0","Click to download SizeChart")</f>
      </c>
      <c r="C1184" s="0" t="inlineStr">
        <is>
          <t>Journey Men's Fitted Bike Jersey</t>
        </is>
      </c>
      <c r="D1184" s="1">
        <v>151329</v>
      </c>
      <c r="E1184" s="0" t="inlineStr">
        <is>
          <t>IOWA JOURNE M BK:151329E-2XL</t>
        </is>
      </c>
      <c r="F1184" s="2">
        <v>800151329087</v>
      </c>
      <c r="G1184" s="0" t="inlineStr">
        <is>
          <t>MENS</t>
        </is>
      </c>
      <c r="H1184" s="0" t="inlineStr">
        <is>
          <t>2XL</t>
        </is>
      </c>
      <c r="I1184" s="0">
        <v>89.99</v>
      </c>
      <c r="J1184" s="0">
        <v>15</v>
      </c>
    </row>
    <row r="1185" spans="1:10" customHeight="0">
      <c r="A1185" s="0">
        <f>HYPERLINK("https://dl.dropboxusercontent.com/scl/fi/l12vkidn4c9gbaylhuna9/151329model-image.jpg?rlkey=fx5z77265dxou6p9t4w61aa7d&amp;dl=0","Click to download Image")</f>
      </c>
      <c r="B1185" s="0">
        <f>HYPERLINK("https://dl.dropboxusercontent.com/scl/fi/4ql16jxqo4bc01afgzurs/jersey-size-chartsjourney.jpg?rlkey=xv06m7vm3wfgkjb76d4w20s5o&amp;dl=0","Click to download SizeChart")</f>
      </c>
      <c r="C1185" s="0" t="inlineStr">
        <is>
          <t>Journey Men's Fitted Bike Jersey</t>
        </is>
      </c>
      <c r="D1185" s="1">
        <v>151329</v>
      </c>
      <c r="E1185" s="0" t="inlineStr">
        <is>
          <t>IOWA JOURNE M BK:151329F-3XL</t>
        </is>
      </c>
      <c r="F1185" s="2">
        <v>800151329094</v>
      </c>
      <c r="G1185" s="0" t="inlineStr">
        <is>
          <t>MENS</t>
        </is>
      </c>
      <c r="H1185" s="0" t="inlineStr">
        <is>
          <t>3XL</t>
        </is>
      </c>
      <c r="I1185" s="0">
        <v>89.99</v>
      </c>
      <c r="J1185" s="0">
        <v>7</v>
      </c>
    </row>
    <row r="1186" spans="1:10" customHeight="0">
      <c r="A1186" s="0">
        <f>HYPERLINK("https://dl.dropboxusercontent.com/scl/fi/l12vkidn4c9gbaylhuna9/151329model-image.jpg?rlkey=fx5z77265dxou6p9t4w61aa7d&amp;dl=0","Click to download Image")</f>
      </c>
      <c r="B1186" s="0">
        <f>HYPERLINK("https://dl.dropboxusercontent.com/scl/fi/4ql16jxqo4bc01afgzurs/jersey-size-chartsjourney.jpg?rlkey=xv06m7vm3wfgkjb76d4w20s5o&amp;dl=0","Click to download SizeChart")</f>
      </c>
      <c r="C1186" s="0" t="inlineStr">
        <is>
          <t>Journey Men's Fitted Bike Jersey</t>
        </is>
      </c>
      <c r="D1186" s="1">
        <v>151329</v>
      </c>
      <c r="E1186" s="0" t="inlineStr">
        <is>
          <t>IOWA JOURNE M BK:151329Z-12PK</t>
        </is>
      </c>
      <c r="F1186" s="2">
        <v>800151329995</v>
      </c>
      <c r="G1186" s="0" t="inlineStr">
        <is>
          <t>MENS</t>
        </is>
      </c>
      <c r="H1186" s="0" t="inlineStr">
        <is>
          <t>12 PACK</t>
        </is>
      </c>
      <c r="I1186" s="0">
        <v>840</v>
      </c>
      <c r="J1186" s="0">
        <v>0</v>
      </c>
    </row>
    <row r="1187" spans="1:10" customHeight="0">
      <c r="A1187" s="0">
        <f>HYPERLINK("https://dl.dropboxusercontent.com/scl/fi/w80opuevginrus20acaxr/125941t.jpg?rlkey=nw7ca98zzyf3x94g1ghu1k9qv&amp;dl=0","Click to download Image")</f>
      </c>
      <c r="B1187" s="0">
        <f>HYPERLINK("https://dl.dropboxusercontent.com/scl/fi/5mcw01jj02fwn1so7gty4/womens-jersey-size-chartskalani.jpg?rlkey=406y3e36zrjm8syet5jrxvvyg&amp;dl=0","Click to download SizeChart")</f>
      </c>
      <c r="C1187" s="0" t="inlineStr">
        <is>
          <t>Kalani Women's Relaxed Bike Jersey</t>
        </is>
      </c>
      <c r="D1187" s="1">
        <v>125941</v>
      </c>
      <c r="E1187" s="0" t="inlineStr">
        <is>
          <t>IOWA KALANI W BK:125941A-S</t>
        </is>
      </c>
      <c r="F1187" s="2">
        <v>800125941048</v>
      </c>
      <c r="G1187" s="0" t="inlineStr">
        <is>
          <t>WOMENS</t>
        </is>
      </c>
      <c r="H1187" s="0" t="inlineStr">
        <is>
          <t>S</t>
        </is>
      </c>
      <c r="I1187" s="0">
        <v>89.99</v>
      </c>
      <c r="J1187" s="0">
        <v>13</v>
      </c>
    </row>
    <row r="1188" spans="1:10" customHeight="0">
      <c r="A1188" s="0">
        <f>HYPERLINK("https://dl.dropboxusercontent.com/scl/fi/w80opuevginrus20acaxr/125941t.jpg?rlkey=nw7ca98zzyf3x94g1ghu1k9qv&amp;dl=0","Click to download Image")</f>
      </c>
      <c r="B1188" s="0">
        <f>HYPERLINK("https://dl.dropboxusercontent.com/scl/fi/5mcw01jj02fwn1so7gty4/womens-jersey-size-chartskalani.jpg?rlkey=406y3e36zrjm8syet5jrxvvyg&amp;dl=0","Click to download SizeChart")</f>
      </c>
      <c r="C1188" s="0" t="inlineStr">
        <is>
          <t>Kalani Women's Relaxed Bike Jersey</t>
        </is>
      </c>
      <c r="D1188" s="1">
        <v>125941</v>
      </c>
      <c r="E1188" s="0" t="inlineStr">
        <is>
          <t>IOWA KALANI W BK:125941B-M</t>
        </is>
      </c>
      <c r="F1188" s="2">
        <v>800125941055</v>
      </c>
      <c r="G1188" s="0" t="inlineStr">
        <is>
          <t>WOMENS</t>
        </is>
      </c>
      <c r="H1188" s="0" t="inlineStr">
        <is>
          <t>M</t>
        </is>
      </c>
      <c r="I1188" s="0">
        <v>89.99</v>
      </c>
      <c r="J1188" s="0">
        <v>24</v>
      </c>
    </row>
    <row r="1189" spans="1:10" customHeight="0">
      <c r="A1189" s="0">
        <f>HYPERLINK("https://dl.dropboxusercontent.com/scl/fi/w80opuevginrus20acaxr/125941t.jpg?rlkey=nw7ca98zzyf3x94g1ghu1k9qv&amp;dl=0","Click to download Image")</f>
      </c>
      <c r="B1189" s="0">
        <f>HYPERLINK("https://dl.dropboxusercontent.com/scl/fi/5mcw01jj02fwn1so7gty4/womens-jersey-size-chartskalani.jpg?rlkey=406y3e36zrjm8syet5jrxvvyg&amp;dl=0","Click to download SizeChart")</f>
      </c>
      <c r="C1189" s="0" t="inlineStr">
        <is>
          <t>Kalani Women's Relaxed Bike Jersey</t>
        </is>
      </c>
      <c r="D1189" s="1">
        <v>125941</v>
      </c>
      <c r="E1189" s="0" t="inlineStr">
        <is>
          <t>IOWA KALANI W BK:125941C-L</t>
        </is>
      </c>
      <c r="F1189" s="2">
        <v>800125941062</v>
      </c>
      <c r="G1189" s="0" t="inlineStr">
        <is>
          <t>WOMENS</t>
        </is>
      </c>
      <c r="H1189" s="0" t="inlineStr">
        <is>
          <t>L</t>
        </is>
      </c>
      <c r="I1189" s="0">
        <v>89.99</v>
      </c>
      <c r="J1189" s="0">
        <v>30</v>
      </c>
    </row>
    <row r="1190" spans="1:10" customHeight="0">
      <c r="A1190" s="0">
        <f>HYPERLINK("https://dl.dropboxusercontent.com/scl/fi/w80opuevginrus20acaxr/125941t.jpg?rlkey=nw7ca98zzyf3x94g1ghu1k9qv&amp;dl=0","Click to download Image")</f>
      </c>
      <c r="B1190" s="0">
        <f>HYPERLINK("https://dl.dropboxusercontent.com/scl/fi/5mcw01jj02fwn1so7gty4/womens-jersey-size-chartskalani.jpg?rlkey=406y3e36zrjm8syet5jrxvvyg&amp;dl=0","Click to download SizeChart")</f>
      </c>
      <c r="C1190" s="0" t="inlineStr">
        <is>
          <t>Kalani Women's Relaxed Bike Jersey</t>
        </is>
      </c>
      <c r="D1190" s="1">
        <v>125941</v>
      </c>
      <c r="E1190" s="0" t="inlineStr">
        <is>
          <t>IOWA KALANI W BK:125941D-XL</t>
        </is>
      </c>
      <c r="F1190" s="2">
        <v>800125941079</v>
      </c>
      <c r="G1190" s="0" t="inlineStr">
        <is>
          <t>WOMENS</t>
        </is>
      </c>
      <c r="H1190" s="0" t="inlineStr">
        <is>
          <t>XL</t>
        </is>
      </c>
      <c r="I1190" s="0">
        <v>89.99</v>
      </c>
      <c r="J1190" s="0">
        <v>16</v>
      </c>
    </row>
    <row r="1191" spans="1:10" customHeight="0">
      <c r="A1191" s="0">
        <f>HYPERLINK("https://dl.dropboxusercontent.com/scl/fi/w80opuevginrus20acaxr/125941t.jpg?rlkey=nw7ca98zzyf3x94g1ghu1k9qv&amp;dl=0","Click to download Image")</f>
      </c>
      <c r="B1191" s="0">
        <f>HYPERLINK("https://dl.dropboxusercontent.com/scl/fi/5mcw01jj02fwn1so7gty4/womens-jersey-size-chartskalani.jpg?rlkey=406y3e36zrjm8syet5jrxvvyg&amp;dl=0","Click to download SizeChart")</f>
      </c>
      <c r="C1191" s="0" t="inlineStr">
        <is>
          <t>Kalani Women's Relaxed Bike Jersey</t>
        </is>
      </c>
      <c r="D1191" s="1">
        <v>125941</v>
      </c>
      <c r="E1191" s="0" t="inlineStr">
        <is>
          <t>IOWA KALANI W BK:125941E-2XL</t>
        </is>
      </c>
      <c r="F1191" s="2">
        <v>800125941086</v>
      </c>
      <c r="G1191" s="0" t="inlineStr">
        <is>
          <t>WOMENS</t>
        </is>
      </c>
      <c r="H1191" s="0" t="inlineStr">
        <is>
          <t>2XL</t>
        </is>
      </c>
      <c r="I1191" s="0">
        <v>89.99</v>
      </c>
      <c r="J1191" s="0">
        <v>8</v>
      </c>
    </row>
    <row r="1192" spans="1:10" customHeight="0">
      <c r="A1192" s="0">
        <f>HYPERLINK("https://dl.dropboxusercontent.com/scl/fi/w80opuevginrus20acaxr/125941t.jpg?rlkey=nw7ca98zzyf3x94g1ghu1k9qv&amp;dl=0","Click to download Image")</f>
      </c>
      <c r="B1192" s="0">
        <f>HYPERLINK("https://dl.dropboxusercontent.com/scl/fi/5mcw01jj02fwn1so7gty4/womens-jersey-size-chartskalani.jpg?rlkey=406y3e36zrjm8syet5jrxvvyg&amp;dl=0","Click to download SizeChart")</f>
      </c>
      <c r="C1192" s="0" t="inlineStr">
        <is>
          <t>Kalani Women's Relaxed Bike Jersey</t>
        </is>
      </c>
      <c r="D1192" s="1">
        <v>125941</v>
      </c>
      <c r="E1192" s="0" t="inlineStr">
        <is>
          <t>IOWA KALANI W BK:125941F-3XL</t>
        </is>
      </c>
      <c r="F1192" s="2">
        <v>800125941093</v>
      </c>
      <c r="G1192" s="0" t="inlineStr">
        <is>
          <t>WOMENS</t>
        </is>
      </c>
      <c r="H1192" s="0" t="inlineStr">
        <is>
          <t>3XL</t>
        </is>
      </c>
      <c r="I1192" s="0">
        <v>89.99</v>
      </c>
      <c r="J1192" s="0">
        <v>4</v>
      </c>
    </row>
    <row r="1193" spans="1:10" customHeight="0">
      <c r="A1193" s="0">
        <f>HYPERLINK("https://dl.dropboxusercontent.com/scl/fi/w80opuevginrus20acaxr/125941t.jpg?rlkey=nw7ca98zzyf3x94g1ghu1k9qv&amp;dl=0","Click to download Image")</f>
      </c>
      <c r="B1193" s="0">
        <f>HYPERLINK("https://dl.dropboxusercontent.com/scl/fi/5mcw01jj02fwn1so7gty4/womens-jersey-size-chartskalani.jpg?rlkey=406y3e36zrjm8syet5jrxvvyg&amp;dl=0","Click to download SizeChart")</f>
      </c>
      <c r="C1193" s="0" t="inlineStr">
        <is>
          <t>Kalani Women's Relaxed Bike Jersey</t>
        </is>
      </c>
      <c r="D1193" s="1">
        <v>125941</v>
      </c>
      <c r="E1193" s="0" t="inlineStr">
        <is>
          <t>IOWA KALANI W BK:125941Z-12PK</t>
        </is>
      </c>
      <c r="F1193" s="2">
        <v>800125941994</v>
      </c>
      <c r="G1193" s="0" t="inlineStr">
        <is>
          <t>WOMENS</t>
        </is>
      </c>
      <c r="H1193" s="0" t="inlineStr">
        <is>
          <t>12 PACK</t>
        </is>
      </c>
      <c r="I1193" s="0">
        <v>859.2</v>
      </c>
      <c r="J1193" s="0">
        <v>0</v>
      </c>
    </row>
    <row r="1194" spans="1:10" customHeight="0">
      <c r="A1194" s="0">
        <f>HYPERLINK("https://dl.dropboxusercontent.com/scl/fi/yootj3n9fcs3js1lpr72g/2.jpg?rlkey=dt53buwx5we6vg7m5c0094fi6&amp;dl=0","Click to download Image")</f>
      </c>
      <c r="B1194" s="0">
        <f>HYPERLINK("https://dl.dropboxusercontent.com/scl/fi/nodk7gqmgele1qrw6nxpq/womens-jersey-size-chartskalani.jpg?rlkey=cyqtov3v0xn4w187lvs1j92ol&amp;dl=0","Click to download SizeChart")</f>
      </c>
      <c r="C1194" s="0" t="inlineStr">
        <is>
          <t>Kalani Women's Relaxed Bike Jersey</t>
        </is>
      </c>
      <c r="D1194" s="1">
        <v>152298</v>
      </c>
      <c r="E1194" s="0" t="inlineStr">
        <is>
          <t>IOWA KALANI W BK:152298A-S</t>
        </is>
      </c>
      <c r="F1194" s="2">
        <v>800152298047</v>
      </c>
      <c r="G1194" s="0" t="inlineStr">
        <is>
          <t>WOMENS</t>
        </is>
      </c>
      <c r="H1194" s="0" t="inlineStr">
        <is>
          <t>S</t>
        </is>
      </c>
      <c r="I1194" s="0">
        <v>89.99</v>
      </c>
      <c r="J1194" s="0">
        <v>5</v>
      </c>
    </row>
    <row r="1195" spans="1:10" customHeight="0">
      <c r="A1195" s="0">
        <f>HYPERLINK("https://dl.dropboxusercontent.com/scl/fi/yootj3n9fcs3js1lpr72g/2.jpg?rlkey=dt53buwx5we6vg7m5c0094fi6&amp;dl=0","Click to download Image")</f>
      </c>
      <c r="B1195" s="0">
        <f>HYPERLINK("https://dl.dropboxusercontent.com/scl/fi/nodk7gqmgele1qrw6nxpq/womens-jersey-size-chartskalani.jpg?rlkey=cyqtov3v0xn4w187lvs1j92ol&amp;dl=0","Click to download SizeChart")</f>
      </c>
      <c r="C1195" s="0" t="inlineStr">
        <is>
          <t>Kalani Women's Relaxed Bike Jersey</t>
        </is>
      </c>
      <c r="D1195" s="1">
        <v>152298</v>
      </c>
      <c r="E1195" s="0" t="inlineStr">
        <is>
          <t>IOWA KALANI W BK:152298B-M</t>
        </is>
      </c>
      <c r="F1195" s="2">
        <v>800152298054</v>
      </c>
      <c r="G1195" s="0" t="inlineStr">
        <is>
          <t>WOMENS</t>
        </is>
      </c>
      <c r="H1195" s="0" t="inlineStr">
        <is>
          <t>M</t>
        </is>
      </c>
      <c r="I1195" s="0">
        <v>89.99</v>
      </c>
      <c r="J1195" s="0">
        <v>7</v>
      </c>
    </row>
    <row r="1196" spans="1:10" customHeight="0">
      <c r="A1196" s="0">
        <f>HYPERLINK("https://dl.dropboxusercontent.com/scl/fi/yootj3n9fcs3js1lpr72g/2.jpg?rlkey=dt53buwx5we6vg7m5c0094fi6&amp;dl=0","Click to download Image")</f>
      </c>
      <c r="B1196" s="0">
        <f>HYPERLINK("https://dl.dropboxusercontent.com/scl/fi/nodk7gqmgele1qrw6nxpq/womens-jersey-size-chartskalani.jpg?rlkey=cyqtov3v0xn4w187lvs1j92ol&amp;dl=0","Click to download SizeChart")</f>
      </c>
      <c r="C1196" s="0" t="inlineStr">
        <is>
          <t>Kalani Women's Relaxed Bike Jersey</t>
        </is>
      </c>
      <c r="D1196" s="1">
        <v>152298</v>
      </c>
      <c r="E1196" s="0" t="inlineStr">
        <is>
          <t>IOWA KALANI W BK:152298C-L</t>
        </is>
      </c>
      <c r="F1196" s="2">
        <v>800152298061</v>
      </c>
      <c r="G1196" s="0" t="inlineStr">
        <is>
          <t>WOMENS</t>
        </is>
      </c>
      <c r="H1196" s="0" t="inlineStr">
        <is>
          <t>L</t>
        </is>
      </c>
      <c r="I1196" s="0">
        <v>89.99</v>
      </c>
      <c r="J1196" s="0">
        <v>8</v>
      </c>
    </row>
    <row r="1197" spans="1:10" customHeight="0">
      <c r="A1197" s="0">
        <f>HYPERLINK("https://dl.dropboxusercontent.com/scl/fi/yootj3n9fcs3js1lpr72g/2.jpg?rlkey=dt53buwx5we6vg7m5c0094fi6&amp;dl=0","Click to download Image")</f>
      </c>
      <c r="B1197" s="0">
        <f>HYPERLINK("https://dl.dropboxusercontent.com/scl/fi/nodk7gqmgele1qrw6nxpq/womens-jersey-size-chartskalani.jpg?rlkey=cyqtov3v0xn4w187lvs1j92ol&amp;dl=0","Click to download SizeChart")</f>
      </c>
      <c r="C1197" s="0" t="inlineStr">
        <is>
          <t>Kalani Women's Relaxed Bike Jersey</t>
        </is>
      </c>
      <c r="D1197" s="1">
        <v>152298</v>
      </c>
      <c r="E1197" s="0" t="inlineStr">
        <is>
          <t>IOWA KALANI W BK:152298D-XL</t>
        </is>
      </c>
      <c r="F1197" s="2">
        <v>800152298078</v>
      </c>
      <c r="G1197" s="0" t="inlineStr">
        <is>
          <t>WOMENS</t>
        </is>
      </c>
      <c r="H1197" s="0" t="inlineStr">
        <is>
          <t>XL</t>
        </is>
      </c>
      <c r="I1197" s="0">
        <v>89.99</v>
      </c>
      <c r="J1197" s="0">
        <v>5</v>
      </c>
    </row>
    <row r="1198" spans="1:10" customHeight="0">
      <c r="A1198" s="0">
        <f>HYPERLINK("https://dl.dropboxusercontent.com/scl/fi/yootj3n9fcs3js1lpr72g/2.jpg?rlkey=dt53buwx5we6vg7m5c0094fi6&amp;dl=0","Click to download Image")</f>
      </c>
      <c r="B1198" s="0">
        <f>HYPERLINK("https://dl.dropboxusercontent.com/scl/fi/nodk7gqmgele1qrw6nxpq/womens-jersey-size-chartskalani.jpg?rlkey=cyqtov3v0xn4w187lvs1j92ol&amp;dl=0","Click to download SizeChart")</f>
      </c>
      <c r="C1198" s="0" t="inlineStr">
        <is>
          <t>Kalani Women's Relaxed Bike Jersey</t>
        </is>
      </c>
      <c r="D1198" s="1">
        <v>152298</v>
      </c>
      <c r="E1198" s="0" t="inlineStr">
        <is>
          <t>IOWA KALANI W BK:152298E-2XL</t>
        </is>
      </c>
      <c r="F1198" s="2">
        <v>800152298085</v>
      </c>
      <c r="G1198" s="0" t="inlineStr">
        <is>
          <t>WOMENS</t>
        </is>
      </c>
      <c r="H1198" s="0" t="inlineStr">
        <is>
          <t>2XL</t>
        </is>
      </c>
      <c r="I1198" s="0">
        <v>89.99</v>
      </c>
      <c r="J1198" s="0">
        <v>0</v>
      </c>
    </row>
    <row r="1199" spans="1:10" customHeight="0">
      <c r="A1199" s="0">
        <f>HYPERLINK("https://dl.dropboxusercontent.com/scl/fi/yootj3n9fcs3js1lpr72g/2.jpg?rlkey=dt53buwx5we6vg7m5c0094fi6&amp;dl=0","Click to download Image")</f>
      </c>
      <c r="B1199" s="0">
        <f>HYPERLINK("https://dl.dropboxusercontent.com/scl/fi/nodk7gqmgele1qrw6nxpq/womens-jersey-size-chartskalani.jpg?rlkey=cyqtov3v0xn4w187lvs1j92ol&amp;dl=0","Click to download SizeChart")</f>
      </c>
      <c r="C1199" s="0" t="inlineStr">
        <is>
          <t>Kalani Women's Relaxed Bike Jersey</t>
        </is>
      </c>
      <c r="D1199" s="1">
        <v>152298</v>
      </c>
      <c r="E1199" s="0" t="inlineStr">
        <is>
          <t>IOWA KALANI W BK:152298F-3XL</t>
        </is>
      </c>
      <c r="F1199" s="2">
        <v>800152298092</v>
      </c>
      <c r="G1199" s="0" t="inlineStr">
        <is>
          <t>WOMENS</t>
        </is>
      </c>
      <c r="H1199" s="0" t="inlineStr">
        <is>
          <t>3XL</t>
        </is>
      </c>
      <c r="I1199" s="0">
        <v>89.99</v>
      </c>
      <c r="J1199" s="0">
        <v>2</v>
      </c>
    </row>
    <row r="1200" spans="1:10" customHeight="0">
      <c r="A1200" s="0">
        <f>HYPERLINK("https://dl.dropboxusercontent.com/scl/fi/yootj3n9fcs3js1lpr72g/2.jpg?rlkey=dt53buwx5we6vg7m5c0094fi6&amp;dl=0","Click to download Image")</f>
      </c>
      <c r="B1200" s="0">
        <f>HYPERLINK("https://dl.dropboxusercontent.com/scl/fi/nodk7gqmgele1qrw6nxpq/womens-jersey-size-chartskalani.jpg?rlkey=cyqtov3v0xn4w187lvs1j92ol&amp;dl=0","Click to download SizeChart")</f>
      </c>
      <c r="C1200" s="0" t="inlineStr">
        <is>
          <t>Kalani Women's Relaxed Bike Jersey</t>
        </is>
      </c>
      <c r="D1200" s="1">
        <v>152298</v>
      </c>
      <c r="E1200" s="0" t="inlineStr">
        <is>
          <t>IOWA KALANI W BK:152298Z-12PK</t>
        </is>
      </c>
      <c r="F1200" s="2">
        <v>800152298993</v>
      </c>
      <c r="G1200" s="0" t="inlineStr">
        <is>
          <t>WOMENS</t>
        </is>
      </c>
      <c r="H1200" s="0" t="inlineStr">
        <is>
          <t>12 PACK</t>
        </is>
      </c>
      <c r="I1200" s="0">
        <v>859.2</v>
      </c>
      <c r="J1200" s="0">
        <v>0</v>
      </c>
    </row>
    <row r="1201" spans="1:10" customHeight="0">
      <c r="A1201" s="0">
        <f>HYPERLINK("https://dl.dropboxusercontent.com/scl/fi/kq0nczi6yylnss4g3oe5y/crossover2.jpg?rlkey=zmvpnhbyd4l89ulj43zv3tu8r&amp;dl=0","Click to download Image")</f>
      </c>
      <c r="C1201" s="0" t="inlineStr">
        <is>
          <t>Crossover At Kinnick Maddox Cap</t>
        </is>
      </c>
      <c r="D1201" s="1">
        <v>144403</v>
      </c>
      <c r="E1201" s="0" t="inlineStr">
        <is>
          <t>CROSS MADDOX M BK:144403</t>
        </is>
      </c>
      <c r="F1201" s="2">
        <v>700144403001</v>
      </c>
      <c r="G1201" s="0" t="inlineStr">
        <is>
          <t>MENS</t>
        </is>
      </c>
      <c r="H1201" s="0" t="inlineStr">
        <is>
          <t>STANDARD MENS</t>
        </is>
      </c>
      <c r="I1201" s="0">
        <v>24.99</v>
      </c>
      <c r="J1201" s="0">
        <v>116</v>
      </c>
    </row>
    <row r="1202" spans="1:10" customHeight="0">
      <c r="A1202" s="0">
        <f>HYPERLINK("https://dl.dropboxusercontent.com/scl/fi/arc2qywy43tfazw7hmku6/crossover.jpg?rlkey=6gza6hlz3gii3t2fv9yecgon5&amp;dl=0","Click to download Image")</f>
      </c>
      <c r="C1202" s="0" t="inlineStr">
        <is>
          <t>Crossover At Kinnick Lumi Women's Cap</t>
        </is>
      </c>
      <c r="D1202" s="1">
        <v>144404</v>
      </c>
      <c r="E1202" s="0" t="inlineStr">
        <is>
          <t>CROSS LUMI M WE:144404</t>
        </is>
      </c>
      <c r="F1202" s="2">
        <v>700144404015</v>
      </c>
      <c r="G1202" s="0" t="inlineStr">
        <is>
          <t>WOMENS</t>
        </is>
      </c>
      <c r="H1202" s="0" t="inlineStr">
        <is>
          <t>WOMENS</t>
        </is>
      </c>
      <c r="I1202" s="0">
        <v>24.99</v>
      </c>
      <c r="J1202" s="0">
        <v>392</v>
      </c>
    </row>
    <row r="1203" spans="1:10" customHeight="0">
      <c r="A1203" s="0">
        <f>HYPERLINK("https://dl.dropboxusercontent.com/scl/fi/bitgre17mnaes1fgq44yy/crossoverlsf22192.jpg?rlkey=5m93u91eisrl8gaufvbvufhdx&amp;dl=0","Click to download Image")</f>
      </c>
      <c r="C1203" s="0" t="inlineStr">
        <is>
          <t>Crossover At Kinnick Long Sleeve</t>
        </is>
      </c>
      <c r="D1203" s="1">
        <v>144397</v>
      </c>
      <c r="E1203" s="0" t="inlineStr">
        <is>
          <t>CROSS LS SHIRT:144397D-XL</t>
        </is>
      </c>
      <c r="F1203" s="2">
        <v>800144397079</v>
      </c>
      <c r="G1203" s="0" t="inlineStr">
        <is>
          <t>MENS</t>
        </is>
      </c>
      <c r="H1203" s="0" t="inlineStr">
        <is>
          <t>XL</t>
        </is>
      </c>
      <c r="I1203" s="0">
        <v>30</v>
      </c>
      <c r="J1203" s="0">
        <v>0</v>
      </c>
    </row>
    <row r="1204" spans="1:10" customHeight="0">
      <c r="A1204" s="0">
        <f>HYPERLINK("https://dl.dropboxusercontent.com/scl/fi/bitgre17mnaes1fgq44yy/crossoverlsf22192.jpg?rlkey=5m93u91eisrl8gaufvbvufhdx&amp;dl=0","Click to download Image")</f>
      </c>
      <c r="C1204" s="0" t="inlineStr">
        <is>
          <t>Crossover At Kinnick Long Sleeve</t>
        </is>
      </c>
      <c r="D1204" s="1">
        <v>144397</v>
      </c>
      <c r="E1204" s="0" t="inlineStr">
        <is>
          <t>CROSS LS SHIRT:144397E-2XL</t>
        </is>
      </c>
      <c r="F1204" s="2">
        <v>800144397086</v>
      </c>
      <c r="G1204" s="0" t="inlineStr">
        <is>
          <t>MENS</t>
        </is>
      </c>
      <c r="H1204" s="0" t="inlineStr">
        <is>
          <t>2XL</t>
        </is>
      </c>
      <c r="I1204" s="0">
        <v>30</v>
      </c>
      <c r="J1204" s="0">
        <v>11</v>
      </c>
    </row>
    <row r="1205" spans="1:10" customHeight="0">
      <c r="A1205" s="0">
        <f>HYPERLINK("https://dl.dropboxusercontent.com/scl/fi/bitgre17mnaes1fgq44yy/crossoverlsf22192.jpg?rlkey=5m93u91eisrl8gaufvbvufhdx&amp;dl=0","Click to download Image")</f>
      </c>
      <c r="C1205" s="0" t="inlineStr">
        <is>
          <t>Crossover At Kinnick Long Sleeve</t>
        </is>
      </c>
      <c r="D1205" s="1">
        <v>144397</v>
      </c>
      <c r="E1205" s="0" t="inlineStr">
        <is>
          <t>CROSS LS SHIRT:144397F-3XL</t>
        </is>
      </c>
      <c r="F1205" s="2">
        <v>800144397093</v>
      </c>
      <c r="G1205" s="0" t="inlineStr">
        <is>
          <t>MENS</t>
        </is>
      </c>
      <c r="H1205" s="0" t="inlineStr">
        <is>
          <t>3XL</t>
        </is>
      </c>
      <c r="I1205" s="0">
        <v>30</v>
      </c>
      <c r="J1205" s="0">
        <v>13</v>
      </c>
    </row>
    <row r="1206" spans="1:10" customHeight="0">
      <c r="A1206" s="0">
        <f>HYPERLINK("https://dl.dropboxusercontent.com/scl/fi/7lpdvdbwor6l3k4obo9ew/mock-162449-iowa-flint-w-hb-v1-02.jpg?rlkey=bc7f16r3wcyfcalxju0wtil7y&amp;dl=0","Click to download Image")</f>
      </c>
      <c r="B1206" s="0">
        <f>HYPERLINK("https://dl.dropboxusercontent.com/scl/fi/8vwxkxemly623u987f0id/womens-pullover-size-chartsflint.jpg?rlkey=mztkoxe8h8clcaluhwyie2qlk&amp;dl=0","Click to download SizeChart")</f>
      </c>
      <c r="C1206" s="0" t="inlineStr">
        <is>
          <t>Flint Women's Quarter Zip</t>
        </is>
      </c>
      <c r="D1206" s="1">
        <v>162449</v>
      </c>
      <c r="E1206" s="0" t="inlineStr">
        <is>
          <t>IOWA FLINT W HB:162449A-S</t>
        </is>
      </c>
      <c r="F1206" s="2">
        <v>800162449040</v>
      </c>
      <c r="G1206" s="0" t="inlineStr">
        <is>
          <t>WOMENS</t>
        </is>
      </c>
      <c r="H1206" s="0" t="inlineStr">
        <is>
          <t>S</t>
        </is>
      </c>
      <c r="I1206" s="0">
        <v>44.99</v>
      </c>
      <c r="J1206" s="0">
        <v>0</v>
      </c>
    </row>
    <row r="1207" spans="1:10" customHeight="0">
      <c r="A1207" s="0">
        <f>HYPERLINK("https://dl.dropboxusercontent.com/scl/fi/7lpdvdbwor6l3k4obo9ew/mock-162449-iowa-flint-w-hb-v1-02.jpg?rlkey=bc7f16r3wcyfcalxju0wtil7y&amp;dl=0","Click to download Image")</f>
      </c>
      <c r="B1207" s="0">
        <f>HYPERLINK("https://dl.dropboxusercontent.com/scl/fi/8vwxkxemly623u987f0id/womens-pullover-size-chartsflint.jpg?rlkey=mztkoxe8h8clcaluhwyie2qlk&amp;dl=0","Click to download SizeChart")</f>
      </c>
      <c r="C1207" s="0" t="inlineStr">
        <is>
          <t>Flint Women's Quarter Zip</t>
        </is>
      </c>
      <c r="D1207" s="1">
        <v>162449</v>
      </c>
      <c r="E1207" s="0" t="inlineStr">
        <is>
          <t>IOWA FLINT W HB:162449B-M</t>
        </is>
      </c>
      <c r="F1207" s="2">
        <v>800162449057</v>
      </c>
      <c r="G1207" s="0" t="inlineStr">
        <is>
          <t>WOMENS</t>
        </is>
      </c>
      <c r="H1207" s="0" t="inlineStr">
        <is>
          <t>M</t>
        </is>
      </c>
      <c r="I1207" s="0">
        <v>44.99</v>
      </c>
      <c r="J1207" s="0">
        <v>0</v>
      </c>
    </row>
    <row r="1208" spans="1:10" customHeight="0">
      <c r="A1208" s="0">
        <f>HYPERLINK("https://dl.dropboxusercontent.com/scl/fi/7lpdvdbwor6l3k4obo9ew/mock-162449-iowa-flint-w-hb-v1-02.jpg?rlkey=bc7f16r3wcyfcalxju0wtil7y&amp;dl=0","Click to download Image")</f>
      </c>
      <c r="B1208" s="0">
        <f>HYPERLINK("https://dl.dropboxusercontent.com/scl/fi/8vwxkxemly623u987f0id/womens-pullover-size-chartsflint.jpg?rlkey=mztkoxe8h8clcaluhwyie2qlk&amp;dl=0","Click to download SizeChart")</f>
      </c>
      <c r="C1208" s="0" t="inlineStr">
        <is>
          <t>Flint Women's Quarter Zip</t>
        </is>
      </c>
      <c r="D1208" s="1">
        <v>162449</v>
      </c>
      <c r="E1208" s="0" t="inlineStr">
        <is>
          <t>IOWA FLINT W HB:162449C-L</t>
        </is>
      </c>
      <c r="F1208" s="2">
        <v>800162449064</v>
      </c>
      <c r="G1208" s="0" t="inlineStr">
        <is>
          <t>WOMENS</t>
        </is>
      </c>
      <c r="H1208" s="0" t="inlineStr">
        <is>
          <t>L</t>
        </is>
      </c>
      <c r="I1208" s="0">
        <v>44.99</v>
      </c>
      <c r="J1208" s="0">
        <v>1</v>
      </c>
    </row>
    <row r="1209" spans="1:10" customHeight="0">
      <c r="A1209" s="0">
        <f>HYPERLINK("https://dl.dropboxusercontent.com/scl/fi/7lpdvdbwor6l3k4obo9ew/mock-162449-iowa-flint-w-hb-v1-02.jpg?rlkey=bc7f16r3wcyfcalxju0wtil7y&amp;dl=0","Click to download Image")</f>
      </c>
      <c r="B1209" s="0">
        <f>HYPERLINK("https://dl.dropboxusercontent.com/scl/fi/8vwxkxemly623u987f0id/womens-pullover-size-chartsflint.jpg?rlkey=mztkoxe8h8clcaluhwyie2qlk&amp;dl=0","Click to download SizeChart")</f>
      </c>
      <c r="C1209" s="0" t="inlineStr">
        <is>
          <t>Flint Women's Quarter Zip</t>
        </is>
      </c>
      <c r="D1209" s="1">
        <v>162449</v>
      </c>
      <c r="E1209" s="0" t="inlineStr">
        <is>
          <t>IOWA FLINT W HB:162449D-XL</t>
        </is>
      </c>
      <c r="F1209" s="2">
        <v>800162449071</v>
      </c>
      <c r="G1209" s="0" t="inlineStr">
        <is>
          <t>WOMENS</t>
        </is>
      </c>
      <c r="H1209" s="0" t="inlineStr">
        <is>
          <t>XL</t>
        </is>
      </c>
      <c r="I1209" s="0">
        <v>44.99</v>
      </c>
      <c r="J1209" s="0">
        <v>1</v>
      </c>
    </row>
    <row r="1210" spans="1:10" customHeight="0">
      <c r="A1210" s="0">
        <f>HYPERLINK("https://dl.dropboxusercontent.com/scl/fi/7lpdvdbwor6l3k4obo9ew/mock-162449-iowa-flint-w-hb-v1-02.jpg?rlkey=bc7f16r3wcyfcalxju0wtil7y&amp;dl=0","Click to download Image")</f>
      </c>
      <c r="B1210" s="0">
        <f>HYPERLINK("https://dl.dropboxusercontent.com/scl/fi/8vwxkxemly623u987f0id/womens-pullover-size-chartsflint.jpg?rlkey=mztkoxe8h8clcaluhwyie2qlk&amp;dl=0","Click to download SizeChart")</f>
      </c>
      <c r="C1210" s="0" t="inlineStr">
        <is>
          <t>Flint Women's Quarter Zip</t>
        </is>
      </c>
      <c r="D1210" s="1">
        <v>162449</v>
      </c>
      <c r="E1210" s="0" t="inlineStr">
        <is>
          <t>IOWA FLINT W HB:162449E-2XL</t>
        </is>
      </c>
      <c r="F1210" s="2">
        <v>800162449088</v>
      </c>
      <c r="G1210" s="0" t="inlineStr">
        <is>
          <t>WOMENS</t>
        </is>
      </c>
      <c r="H1210" s="0" t="inlineStr">
        <is>
          <t>2XL</t>
        </is>
      </c>
      <c r="I1210" s="0">
        <v>44.99</v>
      </c>
      <c r="J1210" s="0">
        <v>0</v>
      </c>
    </row>
    <row r="1211" spans="1:10" customHeight="0">
      <c r="A1211" s="0">
        <f>HYPERLINK("https://dl.dropboxusercontent.com/scl/fi/7lpdvdbwor6l3k4obo9ew/mock-162449-iowa-flint-w-hb-v1-02.jpg?rlkey=bc7f16r3wcyfcalxju0wtil7y&amp;dl=0","Click to download Image")</f>
      </c>
      <c r="B1211" s="0">
        <f>HYPERLINK("https://dl.dropboxusercontent.com/scl/fi/8vwxkxemly623u987f0id/womens-pullover-size-chartsflint.jpg?rlkey=mztkoxe8h8clcaluhwyie2qlk&amp;dl=0","Click to download SizeChart")</f>
      </c>
      <c r="C1211" s="0" t="inlineStr">
        <is>
          <t>Flint Women's Quarter Zip</t>
        </is>
      </c>
      <c r="D1211" s="1">
        <v>162449</v>
      </c>
      <c r="E1211" s="0" t="inlineStr">
        <is>
          <t>IOWA FLINT W HB:162449F-3XL</t>
        </is>
      </c>
      <c r="F1211" s="2">
        <v>800162449095</v>
      </c>
      <c r="G1211" s="0" t="inlineStr">
        <is>
          <t>WOMENS</t>
        </is>
      </c>
      <c r="H1211" s="0" t="inlineStr">
        <is>
          <t>3XL</t>
        </is>
      </c>
      <c r="I1211" s="0">
        <v>44.99</v>
      </c>
      <c r="J1211" s="0">
        <v>0</v>
      </c>
    </row>
    <row r="1212" spans="1:10" customHeight="0">
      <c r="A1212" s="0">
        <f>HYPERLINK("https://dl.dropboxusercontent.com/scl/fi/u129gljk3hzxf1nju3uea/mock-162448-iowa-flint-m-hg-v1-02.jpg?rlkey=t5l2k3g2uu9p5dlycm8687eyc&amp;dl=0","Click to download Image")</f>
      </c>
      <c r="B1212" s="0">
        <f>HYPERLINK("https://dl.dropboxusercontent.com/scl/fi/d0k4gi3fo5wy5heavis6k/mens-pullover-size-chartsflint.jpg?rlkey=y0y66gqz2p8w44z8spm8nowuq&amp;dl=0","Click to download SizeChart")</f>
      </c>
      <c r="C1212" s="0" t="inlineStr">
        <is>
          <t>Flint Men's Quarter Zip</t>
        </is>
      </c>
      <c r="D1212" s="1">
        <v>162448</v>
      </c>
      <c r="E1212" s="0" t="inlineStr">
        <is>
          <t>IOWA FLINT M HG:162448A-S</t>
        </is>
      </c>
      <c r="F1212" s="2">
        <v>800162448043</v>
      </c>
      <c r="G1212" s="0" t="inlineStr">
        <is>
          <t>MENS</t>
        </is>
      </c>
      <c r="H1212" s="0" t="inlineStr">
        <is>
          <t>S</t>
        </is>
      </c>
      <c r="I1212" s="0">
        <v>44.99</v>
      </c>
      <c r="J1212" s="0">
        <v>2</v>
      </c>
    </row>
    <row r="1213" spans="1:10" customHeight="0">
      <c r="A1213" s="0">
        <f>HYPERLINK("https://dl.dropboxusercontent.com/scl/fi/u129gljk3hzxf1nju3uea/mock-162448-iowa-flint-m-hg-v1-02.jpg?rlkey=t5l2k3g2uu9p5dlycm8687eyc&amp;dl=0","Click to download Image")</f>
      </c>
      <c r="B1213" s="0">
        <f>HYPERLINK("https://dl.dropboxusercontent.com/scl/fi/d0k4gi3fo5wy5heavis6k/mens-pullover-size-chartsflint.jpg?rlkey=y0y66gqz2p8w44z8spm8nowuq&amp;dl=0","Click to download SizeChart")</f>
      </c>
      <c r="C1213" s="0" t="inlineStr">
        <is>
          <t>Flint Men's Quarter Zip</t>
        </is>
      </c>
      <c r="D1213" s="1">
        <v>162448</v>
      </c>
      <c r="E1213" s="0" t="inlineStr">
        <is>
          <t>IOWA FLINT M HG:162448B-M</t>
        </is>
      </c>
      <c r="F1213" s="2">
        <v>800162448050</v>
      </c>
      <c r="G1213" s="0" t="inlineStr">
        <is>
          <t>MENS</t>
        </is>
      </c>
      <c r="H1213" s="0" t="inlineStr">
        <is>
          <t>M</t>
        </is>
      </c>
      <c r="I1213" s="0">
        <v>44.99</v>
      </c>
      <c r="J1213" s="0">
        <v>4</v>
      </c>
    </row>
    <row r="1214" spans="1:10" customHeight="0">
      <c r="A1214" s="0">
        <f>HYPERLINK("https://dl.dropboxusercontent.com/scl/fi/u129gljk3hzxf1nju3uea/mock-162448-iowa-flint-m-hg-v1-02.jpg?rlkey=t5l2k3g2uu9p5dlycm8687eyc&amp;dl=0","Click to download Image")</f>
      </c>
      <c r="B1214" s="0">
        <f>HYPERLINK("https://dl.dropboxusercontent.com/scl/fi/d0k4gi3fo5wy5heavis6k/mens-pullover-size-chartsflint.jpg?rlkey=y0y66gqz2p8w44z8spm8nowuq&amp;dl=0","Click to download SizeChart")</f>
      </c>
      <c r="C1214" s="0" t="inlineStr">
        <is>
          <t>Flint Men's Quarter Zip</t>
        </is>
      </c>
      <c r="D1214" s="1">
        <v>162448</v>
      </c>
      <c r="E1214" s="0" t="inlineStr">
        <is>
          <t>IOWA FLINT M HG:162448C-L</t>
        </is>
      </c>
      <c r="F1214" s="2">
        <v>800162448067</v>
      </c>
      <c r="G1214" s="0" t="inlineStr">
        <is>
          <t>MENS</t>
        </is>
      </c>
      <c r="H1214" s="0" t="inlineStr">
        <is>
          <t>L</t>
        </is>
      </c>
      <c r="I1214" s="0">
        <v>44.99</v>
      </c>
      <c r="J1214" s="0">
        <v>6</v>
      </c>
    </row>
    <row r="1215" spans="1:10" customHeight="0">
      <c r="A1215" s="0">
        <f>HYPERLINK("https://dl.dropboxusercontent.com/scl/fi/u129gljk3hzxf1nju3uea/mock-162448-iowa-flint-m-hg-v1-02.jpg?rlkey=t5l2k3g2uu9p5dlycm8687eyc&amp;dl=0","Click to download Image")</f>
      </c>
      <c r="B1215" s="0">
        <f>HYPERLINK("https://dl.dropboxusercontent.com/scl/fi/d0k4gi3fo5wy5heavis6k/mens-pullover-size-chartsflint.jpg?rlkey=y0y66gqz2p8w44z8spm8nowuq&amp;dl=0","Click to download SizeChart")</f>
      </c>
      <c r="C1215" s="0" t="inlineStr">
        <is>
          <t>Flint Men's Quarter Zip</t>
        </is>
      </c>
      <c r="D1215" s="1">
        <v>162448</v>
      </c>
      <c r="E1215" s="0" t="inlineStr">
        <is>
          <t>IOWA FLINT M HG:162448D-XL</t>
        </is>
      </c>
      <c r="F1215" s="2">
        <v>800162448074</v>
      </c>
      <c r="G1215" s="0" t="inlineStr">
        <is>
          <t>MENS</t>
        </is>
      </c>
      <c r="H1215" s="0" t="inlineStr">
        <is>
          <t>XL</t>
        </is>
      </c>
      <c r="I1215" s="0">
        <v>44.99</v>
      </c>
      <c r="J1215" s="0">
        <v>6</v>
      </c>
    </row>
    <row r="1216" spans="1:10" customHeight="0">
      <c r="A1216" s="0">
        <f>HYPERLINK("https://dl.dropboxusercontent.com/scl/fi/u129gljk3hzxf1nju3uea/mock-162448-iowa-flint-m-hg-v1-02.jpg?rlkey=t5l2k3g2uu9p5dlycm8687eyc&amp;dl=0","Click to download Image")</f>
      </c>
      <c r="B1216" s="0">
        <f>HYPERLINK("https://dl.dropboxusercontent.com/scl/fi/d0k4gi3fo5wy5heavis6k/mens-pullover-size-chartsflint.jpg?rlkey=y0y66gqz2p8w44z8spm8nowuq&amp;dl=0","Click to download SizeChart")</f>
      </c>
      <c r="C1216" s="0" t="inlineStr">
        <is>
          <t>Flint Men's Quarter Zip</t>
        </is>
      </c>
      <c r="D1216" s="1">
        <v>162448</v>
      </c>
      <c r="E1216" s="0" t="inlineStr">
        <is>
          <t>IOWA FLINT M HG:162448E-2XL</t>
        </is>
      </c>
      <c r="F1216" s="2">
        <v>800162448081</v>
      </c>
      <c r="G1216" s="0" t="inlineStr">
        <is>
          <t>MENS</t>
        </is>
      </c>
      <c r="H1216" s="0" t="inlineStr">
        <is>
          <t>2XL</t>
        </is>
      </c>
      <c r="I1216" s="0">
        <v>44.99</v>
      </c>
      <c r="J1216" s="0">
        <v>4</v>
      </c>
    </row>
    <row r="1217" spans="1:10" customHeight="0">
      <c r="A1217" s="0">
        <f>HYPERLINK("https://dl.dropboxusercontent.com/scl/fi/u129gljk3hzxf1nju3uea/mock-162448-iowa-flint-m-hg-v1-02.jpg?rlkey=t5l2k3g2uu9p5dlycm8687eyc&amp;dl=0","Click to download Image")</f>
      </c>
      <c r="B1217" s="0">
        <f>HYPERLINK("https://dl.dropboxusercontent.com/scl/fi/d0k4gi3fo5wy5heavis6k/mens-pullover-size-chartsflint.jpg?rlkey=y0y66gqz2p8w44z8spm8nowuq&amp;dl=0","Click to download SizeChart")</f>
      </c>
      <c r="C1217" s="0" t="inlineStr">
        <is>
          <t>Flint Men's Quarter Zip</t>
        </is>
      </c>
      <c r="D1217" s="1">
        <v>162448</v>
      </c>
      <c r="E1217" s="0" t="inlineStr">
        <is>
          <t>IOWA FLINT M HG:162448F-3XL</t>
        </is>
      </c>
      <c r="F1217" s="2">
        <v>800162448098</v>
      </c>
      <c r="G1217" s="0" t="inlineStr">
        <is>
          <t>MENS</t>
        </is>
      </c>
      <c r="H1217" s="0" t="inlineStr">
        <is>
          <t>3XL</t>
        </is>
      </c>
      <c r="I1217" s="0">
        <v>44.99</v>
      </c>
      <c r="J1217" s="0">
        <v>2</v>
      </c>
    </row>
    <row r="1218" spans="1:10" customHeight="0">
      <c r="A1218" s="0">
        <f>HYPERLINK("https://dl.dropboxusercontent.com/scl/fi/rj9us486dpnujkrr06gde/mock-162452-iowa-fleet-m-bk-v1-02.jpg?rlkey=9uh7aqki7xlhqorupxlkd5x72&amp;dl=0","Click to download Image")</f>
      </c>
      <c r="B1218" s="0">
        <f>HYPERLINK("https://dl.dropboxusercontent.com/scl/fi/3we4wrqmlao2s9u5inp1i/mens-polo-size-chartsfleet.jpg?rlkey=654vwl3tnvlm489l15sjxxvak&amp;dl=0","Click to download SizeChart")</f>
      </c>
      <c r="C1218" s="0" t="inlineStr">
        <is>
          <t>Fleet Men's Polo</t>
        </is>
      </c>
      <c r="D1218" s="1">
        <v>162452</v>
      </c>
      <c r="E1218" s="0" t="inlineStr">
        <is>
          <t>IOWA FLEET M BK:162452A-S</t>
        </is>
      </c>
      <c r="F1218" s="2">
        <v>800162452040</v>
      </c>
      <c r="G1218" s="0" t="inlineStr">
        <is>
          <t>MENS</t>
        </is>
      </c>
      <c r="H1218" s="0" t="inlineStr">
        <is>
          <t>S</t>
        </is>
      </c>
      <c r="I1218" s="0">
        <v>54.99</v>
      </c>
      <c r="J1218" s="0">
        <v>1</v>
      </c>
    </row>
    <row r="1219" spans="1:10" customHeight="0">
      <c r="A1219" s="0">
        <f>HYPERLINK("https://dl.dropboxusercontent.com/scl/fi/rj9us486dpnujkrr06gde/mock-162452-iowa-fleet-m-bk-v1-02.jpg?rlkey=9uh7aqki7xlhqorupxlkd5x72&amp;dl=0","Click to download Image")</f>
      </c>
      <c r="B1219" s="0">
        <f>HYPERLINK("https://dl.dropboxusercontent.com/scl/fi/3we4wrqmlao2s9u5inp1i/mens-polo-size-chartsfleet.jpg?rlkey=654vwl3tnvlm489l15sjxxvak&amp;dl=0","Click to download SizeChart")</f>
      </c>
      <c r="C1219" s="0" t="inlineStr">
        <is>
          <t>Fleet Men's Polo</t>
        </is>
      </c>
      <c r="D1219" s="1">
        <v>162452</v>
      </c>
      <c r="E1219" s="0" t="inlineStr">
        <is>
          <t>IOWA FLEET M BK:162452B-M</t>
        </is>
      </c>
      <c r="F1219" s="2">
        <v>800162452057</v>
      </c>
      <c r="G1219" s="0" t="inlineStr">
        <is>
          <t>MENS</t>
        </is>
      </c>
      <c r="H1219" s="0" t="inlineStr">
        <is>
          <t>M</t>
        </is>
      </c>
      <c r="I1219" s="0">
        <v>54.99</v>
      </c>
      <c r="J1219" s="0">
        <v>0</v>
      </c>
    </row>
    <row r="1220" spans="1:10" customHeight="0">
      <c r="A1220" s="0">
        <f>HYPERLINK("https://dl.dropboxusercontent.com/scl/fi/rj9us486dpnujkrr06gde/mock-162452-iowa-fleet-m-bk-v1-02.jpg?rlkey=9uh7aqki7xlhqorupxlkd5x72&amp;dl=0","Click to download Image")</f>
      </c>
      <c r="B1220" s="0">
        <f>HYPERLINK("https://dl.dropboxusercontent.com/scl/fi/3we4wrqmlao2s9u5inp1i/mens-polo-size-chartsfleet.jpg?rlkey=654vwl3tnvlm489l15sjxxvak&amp;dl=0","Click to download SizeChart")</f>
      </c>
      <c r="C1220" s="0" t="inlineStr">
        <is>
          <t>Fleet Men's Polo</t>
        </is>
      </c>
      <c r="D1220" s="1">
        <v>162452</v>
      </c>
      <c r="E1220" s="0" t="inlineStr">
        <is>
          <t>IOWA FLEET M BK:162452C-L</t>
        </is>
      </c>
      <c r="F1220" s="2">
        <v>800162452064</v>
      </c>
      <c r="G1220" s="0" t="inlineStr">
        <is>
          <t>MENS</t>
        </is>
      </c>
      <c r="H1220" s="0" t="inlineStr">
        <is>
          <t>L</t>
        </is>
      </c>
      <c r="I1220" s="0">
        <v>54.99</v>
      </c>
      <c r="J1220" s="0">
        <v>2</v>
      </c>
    </row>
    <row r="1221" spans="1:10" customHeight="0">
      <c r="A1221" s="0">
        <f>HYPERLINK("https://dl.dropboxusercontent.com/scl/fi/rj9us486dpnujkrr06gde/mock-162452-iowa-fleet-m-bk-v1-02.jpg?rlkey=9uh7aqki7xlhqorupxlkd5x72&amp;dl=0","Click to download Image")</f>
      </c>
      <c r="B1221" s="0">
        <f>HYPERLINK("https://dl.dropboxusercontent.com/scl/fi/3we4wrqmlao2s9u5inp1i/mens-polo-size-chartsfleet.jpg?rlkey=654vwl3tnvlm489l15sjxxvak&amp;dl=0","Click to download SizeChart")</f>
      </c>
      <c r="C1221" s="0" t="inlineStr">
        <is>
          <t>Fleet Men's Polo</t>
        </is>
      </c>
      <c r="D1221" s="1">
        <v>162452</v>
      </c>
      <c r="E1221" s="0" t="inlineStr">
        <is>
          <t>IOWA FLEET M BK:162452D-XL</t>
        </is>
      </c>
      <c r="F1221" s="2">
        <v>800162452071</v>
      </c>
      <c r="G1221" s="0" t="inlineStr">
        <is>
          <t>MENS</t>
        </is>
      </c>
      <c r="H1221" s="0" t="inlineStr">
        <is>
          <t>XL</t>
        </is>
      </c>
      <c r="I1221" s="0">
        <v>54.99</v>
      </c>
      <c r="J1221" s="0">
        <v>1</v>
      </c>
    </row>
    <row r="1222" spans="1:10" customHeight="0">
      <c r="A1222" s="0">
        <f>HYPERLINK("https://dl.dropboxusercontent.com/scl/fi/rj9us486dpnujkrr06gde/mock-162452-iowa-fleet-m-bk-v1-02.jpg?rlkey=9uh7aqki7xlhqorupxlkd5x72&amp;dl=0","Click to download Image")</f>
      </c>
      <c r="B1222" s="0">
        <f>HYPERLINK("https://dl.dropboxusercontent.com/scl/fi/3we4wrqmlao2s9u5inp1i/mens-polo-size-chartsfleet.jpg?rlkey=654vwl3tnvlm489l15sjxxvak&amp;dl=0","Click to download SizeChart")</f>
      </c>
      <c r="C1222" s="0" t="inlineStr">
        <is>
          <t>Fleet Men's Polo</t>
        </is>
      </c>
      <c r="D1222" s="1">
        <v>162452</v>
      </c>
      <c r="E1222" s="0" t="inlineStr">
        <is>
          <t>IOWA FLEET M BK:162452E-2XL</t>
        </is>
      </c>
      <c r="F1222" s="2">
        <v>800162452088</v>
      </c>
      <c r="G1222" s="0" t="inlineStr">
        <is>
          <t>MENS</t>
        </is>
      </c>
      <c r="H1222" s="0" t="inlineStr">
        <is>
          <t>2XL</t>
        </is>
      </c>
      <c r="I1222" s="0">
        <v>54.99</v>
      </c>
      <c r="J1222" s="0">
        <v>0</v>
      </c>
    </row>
    <row r="1223" spans="1:10" customHeight="0">
      <c r="A1223" s="0">
        <f>HYPERLINK("https://dl.dropboxusercontent.com/scl/fi/rj9us486dpnujkrr06gde/mock-162452-iowa-fleet-m-bk-v1-02.jpg?rlkey=9uh7aqki7xlhqorupxlkd5x72&amp;dl=0","Click to download Image")</f>
      </c>
      <c r="B1223" s="0">
        <f>HYPERLINK("https://dl.dropboxusercontent.com/scl/fi/3we4wrqmlao2s9u5inp1i/mens-polo-size-chartsfleet.jpg?rlkey=654vwl3tnvlm489l15sjxxvak&amp;dl=0","Click to download SizeChart")</f>
      </c>
      <c r="C1223" s="0" t="inlineStr">
        <is>
          <t>Fleet Men's Polo</t>
        </is>
      </c>
      <c r="D1223" s="1">
        <v>162452</v>
      </c>
      <c r="E1223" s="0" t="inlineStr">
        <is>
          <t>IOWA FLEET M BK:162452F-3XL</t>
        </is>
      </c>
      <c r="F1223" s="2">
        <v>800162452095</v>
      </c>
      <c r="G1223" s="0" t="inlineStr">
        <is>
          <t>MENS</t>
        </is>
      </c>
      <c r="H1223" s="0" t="inlineStr">
        <is>
          <t>3XL</t>
        </is>
      </c>
      <c r="I1223" s="0">
        <v>54.99</v>
      </c>
      <c r="J1223" s="0">
        <v>0</v>
      </c>
    </row>
    <row r="1224" spans="1:10" customHeight="0">
      <c r="A1224" s="0">
        <f>HYPERLINK("https://dl.dropboxusercontent.com/scl/fi/5s3ecq0nl69wumo4v6ayu/154985.jpg?rlkey=bzz8l3lhefqjg03g82uiwvqgw&amp;dl=0","Click to download Image")</f>
      </c>
      <c r="B1224" s="0">
        <f>HYPERLINK("https://dl.dropboxusercontent.com/scl/fi/1ft525vfhy4ikg74y129r/mens-t-shirt-size-chartsnorth.jpg?rlkey=ey4x8lv5nxv0r16lt8myurs7a&amp;dl=0","Click to download SizeChart")</f>
      </c>
      <c r="C1224" s="0" t="inlineStr">
        <is>
          <t>North Men's Bamboo T-Shirt</t>
        </is>
      </c>
      <c r="D1224" s="1">
        <v>154985</v>
      </c>
      <c r="E1224" s="0" t="inlineStr">
        <is>
          <t>IOWA NORTH M BK:154985A-S</t>
        </is>
      </c>
      <c r="F1224" s="2">
        <v>800154985044</v>
      </c>
      <c r="G1224" s="0" t="inlineStr">
        <is>
          <t>MENS</t>
        </is>
      </c>
      <c r="H1224" s="0" t="inlineStr">
        <is>
          <t>S</t>
        </is>
      </c>
      <c r="I1224" s="0">
        <v>30.99</v>
      </c>
      <c r="J1224" s="0">
        <v>25</v>
      </c>
    </row>
    <row r="1225" spans="1:10" customHeight="0">
      <c r="A1225" s="0">
        <f>HYPERLINK("https://dl.dropboxusercontent.com/scl/fi/5s3ecq0nl69wumo4v6ayu/154985.jpg?rlkey=bzz8l3lhefqjg03g82uiwvqgw&amp;dl=0","Click to download Image")</f>
      </c>
      <c r="B1225" s="0">
        <f>HYPERLINK("https://dl.dropboxusercontent.com/scl/fi/1ft525vfhy4ikg74y129r/mens-t-shirt-size-chartsnorth.jpg?rlkey=ey4x8lv5nxv0r16lt8myurs7a&amp;dl=0","Click to download SizeChart")</f>
      </c>
      <c r="C1225" s="0" t="inlineStr">
        <is>
          <t>North Men's Bamboo T-Shirt</t>
        </is>
      </c>
      <c r="D1225" s="1">
        <v>154985</v>
      </c>
      <c r="E1225" s="0" t="inlineStr">
        <is>
          <t>IOWA NORTH M BK:154985B-M</t>
        </is>
      </c>
      <c r="F1225" s="2">
        <v>800154985051</v>
      </c>
      <c r="G1225" s="0" t="inlineStr">
        <is>
          <t>MENS</t>
        </is>
      </c>
      <c r="H1225" s="0" t="inlineStr">
        <is>
          <t>M</t>
        </is>
      </c>
      <c r="I1225" s="0">
        <v>30.99</v>
      </c>
      <c r="J1225" s="0">
        <v>51</v>
      </c>
    </row>
    <row r="1226" spans="1:10" customHeight="0">
      <c r="A1226" s="0">
        <f>HYPERLINK("https://dl.dropboxusercontent.com/scl/fi/5s3ecq0nl69wumo4v6ayu/154985.jpg?rlkey=bzz8l3lhefqjg03g82uiwvqgw&amp;dl=0","Click to download Image")</f>
      </c>
      <c r="B1226" s="0">
        <f>HYPERLINK("https://dl.dropboxusercontent.com/scl/fi/1ft525vfhy4ikg74y129r/mens-t-shirt-size-chartsnorth.jpg?rlkey=ey4x8lv5nxv0r16lt8myurs7a&amp;dl=0","Click to download SizeChart")</f>
      </c>
      <c r="C1226" s="0" t="inlineStr">
        <is>
          <t>North Men's Bamboo T-Shirt</t>
        </is>
      </c>
      <c r="D1226" s="1">
        <v>154985</v>
      </c>
      <c r="E1226" s="0" t="inlineStr">
        <is>
          <t>IOWA NORTH M BK:154985C-L</t>
        </is>
      </c>
      <c r="F1226" s="2">
        <v>800154985068</v>
      </c>
      <c r="G1226" s="0" t="inlineStr">
        <is>
          <t>MENS</t>
        </is>
      </c>
      <c r="H1226" s="0" t="inlineStr">
        <is>
          <t>L</t>
        </is>
      </c>
      <c r="I1226" s="0">
        <v>30.99</v>
      </c>
      <c r="J1226" s="0">
        <v>67</v>
      </c>
    </row>
    <row r="1227" spans="1:10" customHeight="0">
      <c r="A1227" s="0">
        <f>HYPERLINK("https://dl.dropboxusercontent.com/scl/fi/5s3ecq0nl69wumo4v6ayu/154985.jpg?rlkey=bzz8l3lhefqjg03g82uiwvqgw&amp;dl=0","Click to download Image")</f>
      </c>
      <c r="B1227" s="0">
        <f>HYPERLINK("https://dl.dropboxusercontent.com/scl/fi/1ft525vfhy4ikg74y129r/mens-t-shirt-size-chartsnorth.jpg?rlkey=ey4x8lv5nxv0r16lt8myurs7a&amp;dl=0","Click to download SizeChart")</f>
      </c>
      <c r="C1227" s="0" t="inlineStr">
        <is>
          <t>North Men's Bamboo T-Shirt</t>
        </is>
      </c>
      <c r="D1227" s="1">
        <v>154985</v>
      </c>
      <c r="E1227" s="0" t="inlineStr">
        <is>
          <t>IOWA NORTH M BK:154985D-XL</t>
        </is>
      </c>
      <c r="F1227" s="2">
        <v>800154985075</v>
      </c>
      <c r="G1227" s="0" t="inlineStr">
        <is>
          <t>MENS</t>
        </is>
      </c>
      <c r="H1227" s="0" t="inlineStr">
        <is>
          <t>XL</t>
        </is>
      </c>
      <c r="I1227" s="0">
        <v>30.99</v>
      </c>
      <c r="J1227" s="0">
        <v>65</v>
      </c>
    </row>
    <row r="1228" spans="1:10" customHeight="0">
      <c r="A1228" s="0">
        <f>HYPERLINK("https://dl.dropboxusercontent.com/scl/fi/5s3ecq0nl69wumo4v6ayu/154985.jpg?rlkey=bzz8l3lhefqjg03g82uiwvqgw&amp;dl=0","Click to download Image")</f>
      </c>
      <c r="B1228" s="0">
        <f>HYPERLINK("https://dl.dropboxusercontent.com/scl/fi/1ft525vfhy4ikg74y129r/mens-t-shirt-size-chartsnorth.jpg?rlkey=ey4x8lv5nxv0r16lt8myurs7a&amp;dl=0","Click to download SizeChart")</f>
      </c>
      <c r="C1228" s="0" t="inlineStr">
        <is>
          <t>North Men's Bamboo T-Shirt</t>
        </is>
      </c>
      <c r="D1228" s="1">
        <v>154985</v>
      </c>
      <c r="E1228" s="0" t="inlineStr">
        <is>
          <t>IOWA NORTH M BK:154985E-2XL</t>
        </is>
      </c>
      <c r="F1228" s="2">
        <v>800154985082</v>
      </c>
      <c r="G1228" s="0" t="inlineStr">
        <is>
          <t>MENS</t>
        </is>
      </c>
      <c r="H1228" s="0" t="inlineStr">
        <is>
          <t>2XL</t>
        </is>
      </c>
      <c r="I1228" s="0">
        <v>30.99</v>
      </c>
      <c r="J1228" s="0">
        <v>47</v>
      </c>
    </row>
    <row r="1229" spans="1:10" customHeight="0">
      <c r="A1229" s="0">
        <f>HYPERLINK("https://dl.dropboxusercontent.com/scl/fi/5s3ecq0nl69wumo4v6ayu/154985.jpg?rlkey=bzz8l3lhefqjg03g82uiwvqgw&amp;dl=0","Click to download Image")</f>
      </c>
      <c r="B1229" s="0">
        <f>HYPERLINK("https://dl.dropboxusercontent.com/scl/fi/1ft525vfhy4ikg74y129r/mens-t-shirt-size-chartsnorth.jpg?rlkey=ey4x8lv5nxv0r16lt8myurs7a&amp;dl=0","Click to download SizeChart")</f>
      </c>
      <c r="C1229" s="0" t="inlineStr">
        <is>
          <t>North Men's Bamboo T-Shirt</t>
        </is>
      </c>
      <c r="D1229" s="1">
        <v>154985</v>
      </c>
      <c r="E1229" s="0" t="inlineStr">
        <is>
          <t>IOWA NORTH M BK:154985F-3XL</t>
        </is>
      </c>
      <c r="F1229" s="2">
        <v>800154985099</v>
      </c>
      <c r="G1229" s="0" t="inlineStr">
        <is>
          <t>MENS</t>
        </is>
      </c>
      <c r="H1229" s="0" t="inlineStr">
        <is>
          <t>3XL</t>
        </is>
      </c>
      <c r="I1229" s="0">
        <v>30.99</v>
      </c>
      <c r="J1229" s="0">
        <v>27</v>
      </c>
    </row>
    <row r="1230" spans="1:10" customHeight="0">
      <c r="A1230" s="0">
        <f>HYPERLINK("https://dl.dropboxusercontent.com/scl/fi/5s3ecq0nl69wumo4v6ayu/154985.jpg?rlkey=bzz8l3lhefqjg03g82uiwvqgw&amp;dl=0","Click to download Image")</f>
      </c>
      <c r="B1230" s="0">
        <f>HYPERLINK("https://dl.dropboxusercontent.com/scl/fi/1ft525vfhy4ikg74y129r/mens-t-shirt-size-chartsnorth.jpg?rlkey=ey4x8lv5nxv0r16lt8myurs7a&amp;dl=0","Click to download SizeChart")</f>
      </c>
      <c r="C1230" s="0" t="inlineStr">
        <is>
          <t>North Men's Bamboo T-Shirt</t>
        </is>
      </c>
      <c r="D1230" s="1">
        <v>154985</v>
      </c>
      <c r="E1230" s="0" t="inlineStr">
        <is>
          <t>IOWA NORTH M BK:154985Z-12PK</t>
        </is>
      </c>
      <c r="F1230" s="2">
        <v>800154985990</v>
      </c>
      <c r="G1230" s="0" t="inlineStr">
        <is>
          <t>MENS</t>
        </is>
      </c>
      <c r="H1230" s="0" t="inlineStr">
        <is>
          <t>12 PACK</t>
        </is>
      </c>
      <c r="I1230" s="0">
        <v>302.4</v>
      </c>
      <c r="J1230" s="0">
        <v>0</v>
      </c>
    </row>
    <row r="1231" spans="1:10" customHeight="0">
      <c r="A1231" s="0">
        <f>HYPERLINK("https://dl.dropboxusercontent.com/scl/fi/xuh7kkufd7xu2stsntr4o/eco-thumbnail-ia-t.jpg?rlkey=6jmfbswuyfe04hw8p231qhk63&amp;dl=0","Click to download Image")</f>
      </c>
      <c r="B1231" s="0">
        <f>HYPERLINK("https://dl.dropboxusercontent.com/scl/fi/1ft525vfhy4ikg74y129r/mens-t-shirt-size-chartsnorth.jpg?rlkey=ey4x8lv5nxv0r16lt8myurs7a&amp;dl=0","Click to download SizeChart")</f>
      </c>
      <c r="C1231" s="0" t="inlineStr">
        <is>
          <t>North Men's Bamboo T-Shirt</t>
        </is>
      </c>
      <c r="D1231" s="1">
        <v>154987</v>
      </c>
      <c r="E1231" s="0" t="inlineStr">
        <is>
          <t>IOWA NORTH M DG:154987A-S</t>
        </is>
      </c>
      <c r="F1231" s="2">
        <v>800154987048</v>
      </c>
      <c r="G1231" s="0" t="inlineStr">
        <is>
          <t>MENS</t>
        </is>
      </c>
      <c r="H1231" s="0" t="inlineStr">
        <is>
          <t>S</t>
        </is>
      </c>
      <c r="I1231" s="0">
        <v>30.99</v>
      </c>
      <c r="J1231" s="0">
        <v>26</v>
      </c>
    </row>
    <row r="1232" spans="1:10" customHeight="0">
      <c r="A1232" s="0">
        <f>HYPERLINK("https://dl.dropboxusercontent.com/scl/fi/xuh7kkufd7xu2stsntr4o/eco-thumbnail-ia-t.jpg?rlkey=6jmfbswuyfe04hw8p231qhk63&amp;dl=0","Click to download Image")</f>
      </c>
      <c r="B1232" s="0">
        <f>HYPERLINK("https://dl.dropboxusercontent.com/scl/fi/1ft525vfhy4ikg74y129r/mens-t-shirt-size-chartsnorth.jpg?rlkey=ey4x8lv5nxv0r16lt8myurs7a&amp;dl=0","Click to download SizeChart")</f>
      </c>
      <c r="C1232" s="0" t="inlineStr">
        <is>
          <t>North Men's Bamboo T-Shirt</t>
        </is>
      </c>
      <c r="D1232" s="1">
        <v>154987</v>
      </c>
      <c r="E1232" s="0" t="inlineStr">
        <is>
          <t>IOWA NORTH M DG:154987B-M</t>
        </is>
      </c>
      <c r="F1232" s="2">
        <v>800154987055</v>
      </c>
      <c r="G1232" s="0" t="inlineStr">
        <is>
          <t>MENS</t>
        </is>
      </c>
      <c r="H1232" s="0" t="inlineStr">
        <is>
          <t>M</t>
        </is>
      </c>
      <c r="I1232" s="0">
        <v>30.99</v>
      </c>
      <c r="J1232" s="0">
        <v>47</v>
      </c>
    </row>
    <row r="1233" spans="1:10" customHeight="0">
      <c r="A1233" s="0">
        <f>HYPERLINK("https://dl.dropboxusercontent.com/scl/fi/xuh7kkufd7xu2stsntr4o/eco-thumbnail-ia-t.jpg?rlkey=6jmfbswuyfe04hw8p231qhk63&amp;dl=0","Click to download Image")</f>
      </c>
      <c r="B1233" s="0">
        <f>HYPERLINK("https://dl.dropboxusercontent.com/scl/fi/1ft525vfhy4ikg74y129r/mens-t-shirt-size-chartsnorth.jpg?rlkey=ey4x8lv5nxv0r16lt8myurs7a&amp;dl=0","Click to download SizeChart")</f>
      </c>
      <c r="C1233" s="0" t="inlineStr">
        <is>
          <t>North Men's Bamboo T-Shirt</t>
        </is>
      </c>
      <c r="D1233" s="1">
        <v>154987</v>
      </c>
      <c r="E1233" s="0" t="inlineStr">
        <is>
          <t>IOWA NORTH M DG:154987C-L</t>
        </is>
      </c>
      <c r="F1233" s="2">
        <v>800154987062</v>
      </c>
      <c r="G1233" s="0" t="inlineStr">
        <is>
          <t>MENS</t>
        </is>
      </c>
      <c r="H1233" s="0" t="inlineStr">
        <is>
          <t>L</t>
        </is>
      </c>
      <c r="I1233" s="0">
        <v>30.99</v>
      </c>
      <c r="J1233" s="0">
        <v>63</v>
      </c>
    </row>
    <row r="1234" spans="1:10" customHeight="0">
      <c r="A1234" s="0">
        <f>HYPERLINK("https://dl.dropboxusercontent.com/scl/fi/xuh7kkufd7xu2stsntr4o/eco-thumbnail-ia-t.jpg?rlkey=6jmfbswuyfe04hw8p231qhk63&amp;dl=0","Click to download Image")</f>
      </c>
      <c r="B1234" s="0">
        <f>HYPERLINK("https://dl.dropboxusercontent.com/scl/fi/1ft525vfhy4ikg74y129r/mens-t-shirt-size-chartsnorth.jpg?rlkey=ey4x8lv5nxv0r16lt8myurs7a&amp;dl=0","Click to download SizeChart")</f>
      </c>
      <c r="C1234" s="0" t="inlineStr">
        <is>
          <t>North Men's Bamboo T-Shirt</t>
        </is>
      </c>
      <c r="D1234" s="1">
        <v>154987</v>
      </c>
      <c r="E1234" s="0" t="inlineStr">
        <is>
          <t>IOWA NORTH M DG:154987D-XL</t>
        </is>
      </c>
      <c r="F1234" s="2">
        <v>800154987079</v>
      </c>
      <c r="G1234" s="0" t="inlineStr">
        <is>
          <t>MENS</t>
        </is>
      </c>
      <c r="H1234" s="0" t="inlineStr">
        <is>
          <t>XL</t>
        </is>
      </c>
      <c r="I1234" s="0">
        <v>30.99</v>
      </c>
      <c r="J1234" s="0">
        <v>67</v>
      </c>
    </row>
    <row r="1235" spans="1:10" customHeight="0">
      <c r="A1235" s="0">
        <f>HYPERLINK("https://dl.dropboxusercontent.com/scl/fi/xuh7kkufd7xu2stsntr4o/eco-thumbnail-ia-t.jpg?rlkey=6jmfbswuyfe04hw8p231qhk63&amp;dl=0","Click to download Image")</f>
      </c>
      <c r="B1235" s="0">
        <f>HYPERLINK("https://dl.dropboxusercontent.com/scl/fi/1ft525vfhy4ikg74y129r/mens-t-shirt-size-chartsnorth.jpg?rlkey=ey4x8lv5nxv0r16lt8myurs7a&amp;dl=0","Click to download SizeChart")</f>
      </c>
      <c r="C1235" s="0" t="inlineStr">
        <is>
          <t>North Men's Bamboo T-Shirt</t>
        </is>
      </c>
      <c r="D1235" s="1">
        <v>154987</v>
      </c>
      <c r="E1235" s="0" t="inlineStr">
        <is>
          <t>IOWA NORTH M DG:154987E-2XL</t>
        </is>
      </c>
      <c r="F1235" s="2">
        <v>800154987086</v>
      </c>
      <c r="G1235" s="0" t="inlineStr">
        <is>
          <t>MENS</t>
        </is>
      </c>
      <c r="H1235" s="0" t="inlineStr">
        <is>
          <t>2XL</t>
        </is>
      </c>
      <c r="I1235" s="0">
        <v>30.99</v>
      </c>
      <c r="J1235" s="0">
        <v>49</v>
      </c>
    </row>
    <row r="1236" spans="1:10" customHeight="0">
      <c r="A1236" s="0">
        <f>HYPERLINK("https://dl.dropboxusercontent.com/scl/fi/xuh7kkufd7xu2stsntr4o/eco-thumbnail-ia-t.jpg?rlkey=6jmfbswuyfe04hw8p231qhk63&amp;dl=0","Click to download Image")</f>
      </c>
      <c r="B1236" s="0">
        <f>HYPERLINK("https://dl.dropboxusercontent.com/scl/fi/1ft525vfhy4ikg74y129r/mens-t-shirt-size-chartsnorth.jpg?rlkey=ey4x8lv5nxv0r16lt8myurs7a&amp;dl=0","Click to download SizeChart")</f>
      </c>
      <c r="C1236" s="0" t="inlineStr">
        <is>
          <t>North Men's Bamboo T-Shirt</t>
        </is>
      </c>
      <c r="D1236" s="1">
        <v>154987</v>
      </c>
      <c r="E1236" s="0" t="inlineStr">
        <is>
          <t>IOWA NORTH M DG:154987F-3XL</t>
        </is>
      </c>
      <c r="F1236" s="2">
        <v>800154987093</v>
      </c>
      <c r="G1236" s="0" t="inlineStr">
        <is>
          <t>MENS</t>
        </is>
      </c>
      <c r="H1236" s="0" t="inlineStr">
        <is>
          <t>3XL</t>
        </is>
      </c>
      <c r="I1236" s="0">
        <v>30.99</v>
      </c>
      <c r="J1236" s="0">
        <v>22</v>
      </c>
    </row>
    <row r="1237" spans="1:10" customHeight="0">
      <c r="A1237" s="0">
        <f>HYPERLINK("https://dl.dropboxusercontent.com/scl/fi/xuh7kkufd7xu2stsntr4o/eco-thumbnail-ia-t.jpg?rlkey=6jmfbswuyfe04hw8p231qhk63&amp;dl=0","Click to download Image")</f>
      </c>
      <c r="B1237" s="0">
        <f>HYPERLINK("https://dl.dropboxusercontent.com/scl/fi/1ft525vfhy4ikg74y129r/mens-t-shirt-size-chartsnorth.jpg?rlkey=ey4x8lv5nxv0r16lt8myurs7a&amp;dl=0","Click to download SizeChart")</f>
      </c>
      <c r="C1237" s="0" t="inlineStr">
        <is>
          <t>North Men's Bamboo T-Shirt</t>
        </is>
      </c>
      <c r="D1237" s="1">
        <v>154987</v>
      </c>
      <c r="E1237" s="0" t="inlineStr">
        <is>
          <t>IOWA NORTH M DG:154987Z-12PK</t>
        </is>
      </c>
      <c r="F1237" s="2">
        <v>800154987994</v>
      </c>
      <c r="G1237" s="0" t="inlineStr">
        <is>
          <t>MENS</t>
        </is>
      </c>
      <c r="H1237" s="0" t="inlineStr">
        <is>
          <t>12 PACK</t>
        </is>
      </c>
      <c r="I1237" s="0">
        <v>302.4</v>
      </c>
      <c r="J1237" s="0">
        <v>0</v>
      </c>
    </row>
    <row r="1238" spans="1:10" customHeight="0">
      <c r="A1238" s="0">
        <f>HYPERLINK("https://dl.dropboxusercontent.com/scl/fi/9hd8adtcb80jlt1a6ma8a/155013.jpg?rlkey=7bvmaeg9eczwroh5hcc6xlr6w&amp;dl=0","Click to download Image")</f>
      </c>
      <c r="B1238" s="0">
        <f>HYPERLINK("https://dl.dropboxusercontent.com/scl/fi/1ft525vfhy4ikg74y129r/mens-t-shirt-size-chartsnorth.jpg?rlkey=ey4x8lv5nxv0r16lt8myurs7a&amp;dl=0","Click to download SizeChart")</f>
      </c>
      <c r="C1238" s="0" t="inlineStr">
        <is>
          <t>North Men's Bamboo T-Shirt</t>
        </is>
      </c>
      <c r="D1238" s="1">
        <v>155013</v>
      </c>
      <c r="E1238" s="0" t="inlineStr">
        <is>
          <t>IOWA NORTH M GN:155013A-S</t>
        </is>
      </c>
      <c r="F1238" s="2">
        <v>800155013043</v>
      </c>
      <c r="G1238" s="0" t="inlineStr">
        <is>
          <t>MENS</t>
        </is>
      </c>
      <c r="H1238" s="0" t="inlineStr">
        <is>
          <t>S</t>
        </is>
      </c>
      <c r="I1238" s="0">
        <v>30.99</v>
      </c>
      <c r="J1238" s="0">
        <v>11</v>
      </c>
    </row>
    <row r="1239" spans="1:10" customHeight="0">
      <c r="A1239" s="0">
        <f>HYPERLINK("https://dl.dropboxusercontent.com/scl/fi/9hd8adtcb80jlt1a6ma8a/155013.jpg?rlkey=7bvmaeg9eczwroh5hcc6xlr6w&amp;dl=0","Click to download Image")</f>
      </c>
      <c r="B1239" s="0">
        <f>HYPERLINK("https://dl.dropboxusercontent.com/scl/fi/1ft525vfhy4ikg74y129r/mens-t-shirt-size-chartsnorth.jpg?rlkey=ey4x8lv5nxv0r16lt8myurs7a&amp;dl=0","Click to download SizeChart")</f>
      </c>
      <c r="C1239" s="0" t="inlineStr">
        <is>
          <t>North Men's Bamboo T-Shirt</t>
        </is>
      </c>
      <c r="D1239" s="1">
        <v>155013</v>
      </c>
      <c r="E1239" s="0" t="inlineStr">
        <is>
          <t>IOWA NORTH M GN:155013B-M</t>
        </is>
      </c>
      <c r="F1239" s="2">
        <v>800155013050</v>
      </c>
      <c r="G1239" s="0" t="inlineStr">
        <is>
          <t>MENS</t>
        </is>
      </c>
      <c r="H1239" s="0" t="inlineStr">
        <is>
          <t>M</t>
        </is>
      </c>
      <c r="I1239" s="0">
        <v>30.99</v>
      </c>
      <c r="J1239" s="0">
        <v>18</v>
      </c>
    </row>
    <row r="1240" spans="1:10" customHeight="0">
      <c r="A1240" s="0">
        <f>HYPERLINK("https://dl.dropboxusercontent.com/scl/fi/9hd8adtcb80jlt1a6ma8a/155013.jpg?rlkey=7bvmaeg9eczwroh5hcc6xlr6w&amp;dl=0","Click to download Image")</f>
      </c>
      <c r="B1240" s="0">
        <f>HYPERLINK("https://dl.dropboxusercontent.com/scl/fi/1ft525vfhy4ikg74y129r/mens-t-shirt-size-chartsnorth.jpg?rlkey=ey4x8lv5nxv0r16lt8myurs7a&amp;dl=0","Click to download SizeChart")</f>
      </c>
      <c r="C1240" s="0" t="inlineStr">
        <is>
          <t>North Men's Bamboo T-Shirt</t>
        </is>
      </c>
      <c r="D1240" s="1">
        <v>155013</v>
      </c>
      <c r="E1240" s="0" t="inlineStr">
        <is>
          <t>IOWA NORTH M GN:155013C-L</t>
        </is>
      </c>
      <c r="F1240" s="2">
        <v>800155013067</v>
      </c>
      <c r="G1240" s="0" t="inlineStr">
        <is>
          <t>MENS</t>
        </is>
      </c>
      <c r="H1240" s="0" t="inlineStr">
        <is>
          <t>L</t>
        </is>
      </c>
      <c r="I1240" s="0">
        <v>30.99</v>
      </c>
      <c r="J1240" s="0">
        <v>25</v>
      </c>
    </row>
    <row r="1241" spans="1:10" customHeight="0">
      <c r="A1241" s="0">
        <f>HYPERLINK("https://dl.dropboxusercontent.com/scl/fi/9hd8adtcb80jlt1a6ma8a/155013.jpg?rlkey=7bvmaeg9eczwroh5hcc6xlr6w&amp;dl=0","Click to download Image")</f>
      </c>
      <c r="B1241" s="0">
        <f>HYPERLINK("https://dl.dropboxusercontent.com/scl/fi/1ft525vfhy4ikg74y129r/mens-t-shirt-size-chartsnorth.jpg?rlkey=ey4x8lv5nxv0r16lt8myurs7a&amp;dl=0","Click to download SizeChart")</f>
      </c>
      <c r="C1241" s="0" t="inlineStr">
        <is>
          <t>North Men's Bamboo T-Shirt</t>
        </is>
      </c>
      <c r="D1241" s="1">
        <v>155013</v>
      </c>
      <c r="E1241" s="0" t="inlineStr">
        <is>
          <t>IOWA NORTH M GN:155013D-XL</t>
        </is>
      </c>
      <c r="F1241" s="2">
        <v>800155013074</v>
      </c>
      <c r="G1241" s="0" t="inlineStr">
        <is>
          <t>MENS</t>
        </is>
      </c>
      <c r="H1241" s="0" t="inlineStr">
        <is>
          <t>XL</t>
        </is>
      </c>
      <c r="I1241" s="0">
        <v>30.99</v>
      </c>
      <c r="J1241" s="0">
        <v>26</v>
      </c>
    </row>
    <row r="1242" spans="1:10" customHeight="0">
      <c r="A1242" s="0">
        <f>HYPERLINK("https://dl.dropboxusercontent.com/scl/fi/9hd8adtcb80jlt1a6ma8a/155013.jpg?rlkey=7bvmaeg9eczwroh5hcc6xlr6w&amp;dl=0","Click to download Image")</f>
      </c>
      <c r="B1242" s="0">
        <f>HYPERLINK("https://dl.dropboxusercontent.com/scl/fi/1ft525vfhy4ikg74y129r/mens-t-shirt-size-chartsnorth.jpg?rlkey=ey4x8lv5nxv0r16lt8myurs7a&amp;dl=0","Click to download SizeChart")</f>
      </c>
      <c r="C1242" s="0" t="inlineStr">
        <is>
          <t>North Men's Bamboo T-Shirt</t>
        </is>
      </c>
      <c r="D1242" s="1">
        <v>155013</v>
      </c>
      <c r="E1242" s="0" t="inlineStr">
        <is>
          <t>IOWA NORTH M GN:155013E-2XL</t>
        </is>
      </c>
      <c r="F1242" s="2">
        <v>800155013081</v>
      </c>
      <c r="G1242" s="0" t="inlineStr">
        <is>
          <t>MENS</t>
        </is>
      </c>
      <c r="H1242" s="0" t="inlineStr">
        <is>
          <t>2XL</t>
        </is>
      </c>
      <c r="I1242" s="0">
        <v>30.99</v>
      </c>
      <c r="J1242" s="0">
        <v>18</v>
      </c>
    </row>
    <row r="1243" spans="1:10" customHeight="0">
      <c r="A1243" s="0">
        <f>HYPERLINK("https://dl.dropboxusercontent.com/scl/fi/9hd8adtcb80jlt1a6ma8a/155013.jpg?rlkey=7bvmaeg9eczwroh5hcc6xlr6w&amp;dl=0","Click to download Image")</f>
      </c>
      <c r="B1243" s="0">
        <f>HYPERLINK("https://dl.dropboxusercontent.com/scl/fi/1ft525vfhy4ikg74y129r/mens-t-shirt-size-chartsnorth.jpg?rlkey=ey4x8lv5nxv0r16lt8myurs7a&amp;dl=0","Click to download SizeChart")</f>
      </c>
      <c r="C1243" s="0" t="inlineStr">
        <is>
          <t>North Men's Bamboo T-Shirt</t>
        </is>
      </c>
      <c r="D1243" s="1">
        <v>155013</v>
      </c>
      <c r="E1243" s="0" t="inlineStr">
        <is>
          <t>IOWA NORTH M GN:155013F-3XL</t>
        </is>
      </c>
      <c r="F1243" s="2">
        <v>800155013098</v>
      </c>
      <c r="G1243" s="0" t="inlineStr">
        <is>
          <t>MENS</t>
        </is>
      </c>
      <c r="H1243" s="0" t="inlineStr">
        <is>
          <t>3XL</t>
        </is>
      </c>
      <c r="I1243" s="0">
        <v>30.99</v>
      </c>
      <c r="J1243" s="0">
        <v>10</v>
      </c>
    </row>
    <row r="1244" spans="1:10" customHeight="0">
      <c r="A1244" s="0">
        <f>HYPERLINK("https://dl.dropboxusercontent.com/scl/fi/9hd8adtcb80jlt1a6ma8a/155013.jpg?rlkey=7bvmaeg9eczwroh5hcc6xlr6w&amp;dl=0","Click to download Image")</f>
      </c>
      <c r="B1244" s="0">
        <f>HYPERLINK("https://dl.dropboxusercontent.com/scl/fi/1ft525vfhy4ikg74y129r/mens-t-shirt-size-chartsnorth.jpg?rlkey=ey4x8lv5nxv0r16lt8myurs7a&amp;dl=0","Click to download SizeChart")</f>
      </c>
      <c r="C1244" s="0" t="inlineStr">
        <is>
          <t>North Men's Bamboo T-Shirt</t>
        </is>
      </c>
      <c r="D1244" s="1">
        <v>155013</v>
      </c>
      <c r="E1244" s="0" t="inlineStr">
        <is>
          <t>IOWA NORTH M GN:155013Z-12PK</t>
        </is>
      </c>
      <c r="F1244" s="2">
        <v>800155013999</v>
      </c>
      <c r="G1244" s="0" t="inlineStr">
        <is>
          <t>MENS</t>
        </is>
      </c>
      <c r="H1244" s="0" t="inlineStr">
        <is>
          <t>12 PACK</t>
        </is>
      </c>
      <c r="I1244" s="0">
        <v>302.4</v>
      </c>
      <c r="J1244" s="0">
        <v>0</v>
      </c>
    </row>
    <row r="1245" spans="1:10" customHeight="0">
      <c r="A1245" s="0">
        <f>HYPERLINK("https://dl.dropboxusercontent.com/scl/fi/tw5awc9u1langw1uacd30/154990.jpg?rlkey=sfffn60g0nrl88ooekqzn2hv9&amp;dl=0","Click to download Image")</f>
      </c>
      <c r="B1245" s="0">
        <f>HYPERLINK("https://dl.dropboxusercontent.com/scl/fi/1ft525vfhy4ikg74y129r/mens-t-shirt-size-chartsnorth.jpg?rlkey=ey4x8lv5nxv0r16lt8myurs7a&amp;dl=0","Click to download SizeChart")</f>
      </c>
      <c r="C1245" s="0" t="inlineStr">
        <is>
          <t>North Men's Bamboo T-Shirt</t>
        </is>
      </c>
      <c r="D1245" s="1">
        <v>154990</v>
      </c>
      <c r="E1245" s="0" t="inlineStr">
        <is>
          <t>IOWA NORTH M OG:154990A-S</t>
        </is>
      </c>
      <c r="F1245" s="2">
        <v>800154990048</v>
      </c>
      <c r="G1245" s="0" t="inlineStr">
        <is>
          <t>MENS</t>
        </is>
      </c>
      <c r="H1245" s="0" t="inlineStr">
        <is>
          <t>S</t>
        </is>
      </c>
      <c r="I1245" s="0">
        <v>30.99</v>
      </c>
      <c r="J1245" s="0">
        <v>18</v>
      </c>
    </row>
    <row r="1246" spans="1:10" customHeight="0">
      <c r="A1246" s="0">
        <f>HYPERLINK("https://dl.dropboxusercontent.com/scl/fi/tw5awc9u1langw1uacd30/154990.jpg?rlkey=sfffn60g0nrl88ooekqzn2hv9&amp;dl=0","Click to download Image")</f>
      </c>
      <c r="B1246" s="0">
        <f>HYPERLINK("https://dl.dropboxusercontent.com/scl/fi/1ft525vfhy4ikg74y129r/mens-t-shirt-size-chartsnorth.jpg?rlkey=ey4x8lv5nxv0r16lt8myurs7a&amp;dl=0","Click to download SizeChart")</f>
      </c>
      <c r="C1246" s="0" t="inlineStr">
        <is>
          <t>North Men's Bamboo T-Shirt</t>
        </is>
      </c>
      <c r="D1246" s="1">
        <v>154990</v>
      </c>
      <c r="E1246" s="0" t="inlineStr">
        <is>
          <t>IOWA NORTH M OG:154990B-M</t>
        </is>
      </c>
      <c r="F1246" s="2">
        <v>800154990055</v>
      </c>
      <c r="G1246" s="0" t="inlineStr">
        <is>
          <t>MENS</t>
        </is>
      </c>
      <c r="H1246" s="0" t="inlineStr">
        <is>
          <t>M</t>
        </is>
      </c>
      <c r="I1246" s="0">
        <v>30.99</v>
      </c>
      <c r="J1246" s="0">
        <v>34</v>
      </c>
    </row>
    <row r="1247" spans="1:10" customHeight="0">
      <c r="A1247" s="0">
        <f>HYPERLINK("https://dl.dropboxusercontent.com/scl/fi/tw5awc9u1langw1uacd30/154990.jpg?rlkey=sfffn60g0nrl88ooekqzn2hv9&amp;dl=0","Click to download Image")</f>
      </c>
      <c r="B1247" s="0">
        <f>HYPERLINK("https://dl.dropboxusercontent.com/scl/fi/1ft525vfhy4ikg74y129r/mens-t-shirt-size-chartsnorth.jpg?rlkey=ey4x8lv5nxv0r16lt8myurs7a&amp;dl=0","Click to download SizeChart")</f>
      </c>
      <c r="C1247" s="0" t="inlineStr">
        <is>
          <t>North Men's Bamboo T-Shirt</t>
        </is>
      </c>
      <c r="D1247" s="1">
        <v>154990</v>
      </c>
      <c r="E1247" s="0" t="inlineStr">
        <is>
          <t>IOWA NORTH M OG:154990C-L</t>
        </is>
      </c>
      <c r="F1247" s="2">
        <v>800154990062</v>
      </c>
      <c r="G1247" s="0" t="inlineStr">
        <is>
          <t>MENS</t>
        </is>
      </c>
      <c r="H1247" s="0" t="inlineStr">
        <is>
          <t>L</t>
        </is>
      </c>
      <c r="I1247" s="0">
        <v>30.99</v>
      </c>
      <c r="J1247" s="0">
        <v>48</v>
      </c>
    </row>
    <row r="1248" spans="1:10" customHeight="0">
      <c r="A1248" s="0">
        <f>HYPERLINK("https://dl.dropboxusercontent.com/scl/fi/tw5awc9u1langw1uacd30/154990.jpg?rlkey=sfffn60g0nrl88ooekqzn2hv9&amp;dl=0","Click to download Image")</f>
      </c>
      <c r="B1248" s="0">
        <f>HYPERLINK("https://dl.dropboxusercontent.com/scl/fi/1ft525vfhy4ikg74y129r/mens-t-shirt-size-chartsnorth.jpg?rlkey=ey4x8lv5nxv0r16lt8myurs7a&amp;dl=0","Click to download SizeChart")</f>
      </c>
      <c r="C1248" s="0" t="inlineStr">
        <is>
          <t>North Men's Bamboo T-Shirt</t>
        </is>
      </c>
      <c r="D1248" s="1">
        <v>154990</v>
      </c>
      <c r="E1248" s="0" t="inlineStr">
        <is>
          <t>IOWA NORTH M OG:154990D-XL</t>
        </is>
      </c>
      <c r="F1248" s="2">
        <v>800154990079</v>
      </c>
      <c r="G1248" s="0" t="inlineStr">
        <is>
          <t>MENS</t>
        </is>
      </c>
      <c r="H1248" s="0" t="inlineStr">
        <is>
          <t>XL</t>
        </is>
      </c>
      <c r="I1248" s="0">
        <v>30.99</v>
      </c>
      <c r="J1248" s="0">
        <v>48</v>
      </c>
    </row>
    <row r="1249" spans="1:10" customHeight="0">
      <c r="A1249" s="0">
        <f>HYPERLINK("https://dl.dropboxusercontent.com/scl/fi/tw5awc9u1langw1uacd30/154990.jpg?rlkey=sfffn60g0nrl88ooekqzn2hv9&amp;dl=0","Click to download Image")</f>
      </c>
      <c r="B1249" s="0">
        <f>HYPERLINK("https://dl.dropboxusercontent.com/scl/fi/1ft525vfhy4ikg74y129r/mens-t-shirt-size-chartsnorth.jpg?rlkey=ey4x8lv5nxv0r16lt8myurs7a&amp;dl=0","Click to download SizeChart")</f>
      </c>
      <c r="C1249" s="0" t="inlineStr">
        <is>
          <t>North Men's Bamboo T-Shirt</t>
        </is>
      </c>
      <c r="D1249" s="1">
        <v>154990</v>
      </c>
      <c r="E1249" s="0" t="inlineStr">
        <is>
          <t>IOWA NORTH M OG:154990E-2XL</t>
        </is>
      </c>
      <c r="F1249" s="2">
        <v>800154990086</v>
      </c>
      <c r="G1249" s="0" t="inlineStr">
        <is>
          <t>MENS</t>
        </is>
      </c>
      <c r="H1249" s="0" t="inlineStr">
        <is>
          <t>2XL</t>
        </is>
      </c>
      <c r="I1249" s="0">
        <v>30.99</v>
      </c>
      <c r="J1249" s="0">
        <v>34</v>
      </c>
    </row>
    <row r="1250" spans="1:10" customHeight="0">
      <c r="A1250" s="0">
        <f>HYPERLINK("https://dl.dropboxusercontent.com/scl/fi/tw5awc9u1langw1uacd30/154990.jpg?rlkey=sfffn60g0nrl88ooekqzn2hv9&amp;dl=0","Click to download Image")</f>
      </c>
      <c r="B1250" s="0">
        <f>HYPERLINK("https://dl.dropboxusercontent.com/scl/fi/1ft525vfhy4ikg74y129r/mens-t-shirt-size-chartsnorth.jpg?rlkey=ey4x8lv5nxv0r16lt8myurs7a&amp;dl=0","Click to download SizeChart")</f>
      </c>
      <c r="C1250" s="0" t="inlineStr">
        <is>
          <t>North Men's Bamboo T-Shirt</t>
        </is>
      </c>
      <c r="D1250" s="1">
        <v>154990</v>
      </c>
      <c r="E1250" s="0" t="inlineStr">
        <is>
          <t>IOWA NORTH M OG:154990F-3XL</t>
        </is>
      </c>
      <c r="F1250" s="2">
        <v>800154990093</v>
      </c>
      <c r="G1250" s="0" t="inlineStr">
        <is>
          <t>MENS</t>
        </is>
      </c>
      <c r="H1250" s="0" t="inlineStr">
        <is>
          <t>3XL</t>
        </is>
      </c>
      <c r="I1250" s="0">
        <v>30.99</v>
      </c>
      <c r="J1250" s="0">
        <v>18</v>
      </c>
    </row>
    <row r="1251" spans="1:10" customHeight="0">
      <c r="A1251" s="0">
        <f>HYPERLINK("https://dl.dropboxusercontent.com/scl/fi/tw5awc9u1langw1uacd30/154990.jpg?rlkey=sfffn60g0nrl88ooekqzn2hv9&amp;dl=0","Click to download Image")</f>
      </c>
      <c r="B1251" s="0">
        <f>HYPERLINK("https://dl.dropboxusercontent.com/scl/fi/1ft525vfhy4ikg74y129r/mens-t-shirt-size-chartsnorth.jpg?rlkey=ey4x8lv5nxv0r16lt8myurs7a&amp;dl=0","Click to download SizeChart")</f>
      </c>
      <c r="C1251" s="0" t="inlineStr">
        <is>
          <t>North Men's Bamboo T-Shirt</t>
        </is>
      </c>
      <c r="D1251" s="1">
        <v>154990</v>
      </c>
      <c r="E1251" s="0" t="inlineStr">
        <is>
          <t>IOWA NORTH M OG:154990Z-12PK</t>
        </is>
      </c>
      <c r="F1251" s="2">
        <v>800154990994</v>
      </c>
      <c r="G1251" s="0" t="inlineStr">
        <is>
          <t>MENS</t>
        </is>
      </c>
      <c r="H1251" s="0" t="inlineStr">
        <is>
          <t>12 PACK</t>
        </is>
      </c>
      <c r="I1251" s="0">
        <v>302.4</v>
      </c>
      <c r="J1251" s="0">
        <v>0</v>
      </c>
    </row>
    <row r="1252" spans="1:10" customHeight="0">
      <c r="A1252" s="0">
        <f>HYPERLINK("https://dl.dropboxusercontent.com/scl/fi/qxu8wt0xgy6wex0574c8q/154989.jpg?rlkey=3krlapzsjekatcqa7gxmw5l0c&amp;dl=0","Click to download Image")</f>
      </c>
      <c r="B1252" s="0">
        <f>HYPERLINK("https://dl.dropboxusercontent.com/scl/fi/1ft525vfhy4ikg74y129r/mens-t-shirt-size-chartsnorth.jpg?rlkey=ey4x8lv5nxv0r16lt8myurs7a&amp;dl=0","Click to download SizeChart")</f>
      </c>
      <c r="C1252" s="0" t="inlineStr">
        <is>
          <t>North Men's Bamboo T-Shirt</t>
        </is>
      </c>
      <c r="D1252" s="1">
        <v>154989</v>
      </c>
      <c r="E1252" s="0" t="inlineStr">
        <is>
          <t>IOWA NORTH M GD:154989A-S</t>
        </is>
      </c>
      <c r="F1252" s="2">
        <v>800154989042</v>
      </c>
      <c r="G1252" s="0" t="inlineStr">
        <is>
          <t>MENS</t>
        </is>
      </c>
      <c r="H1252" s="0" t="inlineStr">
        <is>
          <t>S</t>
        </is>
      </c>
      <c r="I1252" s="0">
        <v>30.99</v>
      </c>
      <c r="J1252" s="0">
        <v>3</v>
      </c>
    </row>
    <row r="1253" spans="1:10" customHeight="0">
      <c r="A1253" s="0">
        <f>HYPERLINK("https://dl.dropboxusercontent.com/scl/fi/qxu8wt0xgy6wex0574c8q/154989.jpg?rlkey=3krlapzsjekatcqa7gxmw5l0c&amp;dl=0","Click to download Image")</f>
      </c>
      <c r="B1253" s="0">
        <f>HYPERLINK("https://dl.dropboxusercontent.com/scl/fi/1ft525vfhy4ikg74y129r/mens-t-shirt-size-chartsnorth.jpg?rlkey=ey4x8lv5nxv0r16lt8myurs7a&amp;dl=0","Click to download SizeChart")</f>
      </c>
      <c r="C1253" s="0" t="inlineStr">
        <is>
          <t>North Men's Bamboo T-Shirt</t>
        </is>
      </c>
      <c r="D1253" s="1">
        <v>154989</v>
      </c>
      <c r="E1253" s="0" t="inlineStr">
        <is>
          <t>IOWA NORTH M GD:154989B-M</t>
        </is>
      </c>
      <c r="F1253" s="2">
        <v>800154989059</v>
      </c>
      <c r="G1253" s="0" t="inlineStr">
        <is>
          <t>MENS</t>
        </is>
      </c>
      <c r="H1253" s="0" t="inlineStr">
        <is>
          <t>M</t>
        </is>
      </c>
      <c r="I1253" s="0">
        <v>30.99</v>
      </c>
      <c r="J1253" s="0">
        <v>16</v>
      </c>
    </row>
    <row r="1254" spans="1:10" customHeight="0">
      <c r="A1254" s="0">
        <f>HYPERLINK("https://dl.dropboxusercontent.com/scl/fi/qxu8wt0xgy6wex0574c8q/154989.jpg?rlkey=3krlapzsjekatcqa7gxmw5l0c&amp;dl=0","Click to download Image")</f>
      </c>
      <c r="B1254" s="0">
        <f>HYPERLINK("https://dl.dropboxusercontent.com/scl/fi/1ft525vfhy4ikg74y129r/mens-t-shirt-size-chartsnorth.jpg?rlkey=ey4x8lv5nxv0r16lt8myurs7a&amp;dl=0","Click to download SizeChart")</f>
      </c>
      <c r="C1254" s="0" t="inlineStr">
        <is>
          <t>North Men's Bamboo T-Shirt</t>
        </is>
      </c>
      <c r="D1254" s="1">
        <v>154989</v>
      </c>
      <c r="E1254" s="0" t="inlineStr">
        <is>
          <t>IOWA NORTH M GD:154989C-L</t>
        </is>
      </c>
      <c r="F1254" s="2">
        <v>800154989066</v>
      </c>
      <c r="G1254" s="0" t="inlineStr">
        <is>
          <t>MENS</t>
        </is>
      </c>
      <c r="H1254" s="0" t="inlineStr">
        <is>
          <t>L</t>
        </is>
      </c>
      <c r="I1254" s="0">
        <v>30.99</v>
      </c>
      <c r="J1254" s="0">
        <v>23</v>
      </c>
    </row>
    <row r="1255" spans="1:10" customHeight="0">
      <c r="A1255" s="0">
        <f>HYPERLINK("https://dl.dropboxusercontent.com/scl/fi/qxu8wt0xgy6wex0574c8q/154989.jpg?rlkey=3krlapzsjekatcqa7gxmw5l0c&amp;dl=0","Click to download Image")</f>
      </c>
      <c r="B1255" s="0">
        <f>HYPERLINK("https://dl.dropboxusercontent.com/scl/fi/1ft525vfhy4ikg74y129r/mens-t-shirt-size-chartsnorth.jpg?rlkey=ey4x8lv5nxv0r16lt8myurs7a&amp;dl=0","Click to download SizeChart")</f>
      </c>
      <c r="C1255" s="0" t="inlineStr">
        <is>
          <t>North Men's Bamboo T-Shirt</t>
        </is>
      </c>
      <c r="D1255" s="1">
        <v>154989</v>
      </c>
      <c r="E1255" s="0" t="inlineStr">
        <is>
          <t>IOWA NORTH M GD:154989D-XL</t>
        </is>
      </c>
      <c r="F1255" s="2">
        <v>800154989073</v>
      </c>
      <c r="G1255" s="0" t="inlineStr">
        <is>
          <t>MENS</t>
        </is>
      </c>
      <c r="H1255" s="0" t="inlineStr">
        <is>
          <t>XL</t>
        </is>
      </c>
      <c r="I1255" s="0">
        <v>30.99</v>
      </c>
      <c r="J1255" s="0">
        <v>23</v>
      </c>
    </row>
    <row r="1256" spans="1:10" customHeight="0">
      <c r="A1256" s="0">
        <f>HYPERLINK("https://dl.dropboxusercontent.com/scl/fi/qxu8wt0xgy6wex0574c8q/154989.jpg?rlkey=3krlapzsjekatcqa7gxmw5l0c&amp;dl=0","Click to download Image")</f>
      </c>
      <c r="B1256" s="0">
        <f>HYPERLINK("https://dl.dropboxusercontent.com/scl/fi/1ft525vfhy4ikg74y129r/mens-t-shirt-size-chartsnorth.jpg?rlkey=ey4x8lv5nxv0r16lt8myurs7a&amp;dl=0","Click to download SizeChart")</f>
      </c>
      <c r="C1256" s="0" t="inlineStr">
        <is>
          <t>North Men's Bamboo T-Shirt</t>
        </is>
      </c>
      <c r="D1256" s="1">
        <v>154989</v>
      </c>
      <c r="E1256" s="0" t="inlineStr">
        <is>
          <t>IOWA NORTH M GD:154989E-2XL</t>
        </is>
      </c>
      <c r="F1256" s="2">
        <v>800154989080</v>
      </c>
      <c r="G1256" s="0" t="inlineStr">
        <is>
          <t>MENS</t>
        </is>
      </c>
      <c r="H1256" s="0" t="inlineStr">
        <is>
          <t>2XL</t>
        </is>
      </c>
      <c r="I1256" s="0">
        <v>30.99</v>
      </c>
      <c r="J1256" s="0">
        <v>17</v>
      </c>
    </row>
    <row r="1257" spans="1:10" customHeight="0">
      <c r="A1257" s="0">
        <f>HYPERLINK("https://dl.dropboxusercontent.com/scl/fi/qxu8wt0xgy6wex0574c8q/154989.jpg?rlkey=3krlapzsjekatcqa7gxmw5l0c&amp;dl=0","Click to download Image")</f>
      </c>
      <c r="B1257" s="0">
        <f>HYPERLINK("https://dl.dropboxusercontent.com/scl/fi/1ft525vfhy4ikg74y129r/mens-t-shirt-size-chartsnorth.jpg?rlkey=ey4x8lv5nxv0r16lt8myurs7a&amp;dl=0","Click to download SizeChart")</f>
      </c>
      <c r="C1257" s="0" t="inlineStr">
        <is>
          <t>North Men's Bamboo T-Shirt</t>
        </is>
      </c>
      <c r="D1257" s="1">
        <v>154989</v>
      </c>
      <c r="E1257" s="0" t="inlineStr">
        <is>
          <t>IOWA NORTH M GD:154989F-3XL</t>
        </is>
      </c>
      <c r="F1257" s="2">
        <v>800154989097</v>
      </c>
      <c r="G1257" s="0" t="inlineStr">
        <is>
          <t>MENS</t>
        </is>
      </c>
      <c r="H1257" s="0" t="inlineStr">
        <is>
          <t>3XL</t>
        </is>
      </c>
      <c r="I1257" s="0">
        <v>30.99</v>
      </c>
      <c r="J1257" s="0">
        <v>3</v>
      </c>
    </row>
    <row r="1258" spans="1:10" customHeight="0">
      <c r="A1258" s="0">
        <f>HYPERLINK("https://dl.dropboxusercontent.com/scl/fi/qxu8wt0xgy6wex0574c8q/154989.jpg?rlkey=3krlapzsjekatcqa7gxmw5l0c&amp;dl=0","Click to download Image")</f>
      </c>
      <c r="B1258" s="0">
        <f>HYPERLINK("https://dl.dropboxusercontent.com/scl/fi/1ft525vfhy4ikg74y129r/mens-t-shirt-size-chartsnorth.jpg?rlkey=ey4x8lv5nxv0r16lt8myurs7a&amp;dl=0","Click to download SizeChart")</f>
      </c>
      <c r="C1258" s="0" t="inlineStr">
        <is>
          <t>North Men's Bamboo T-Shirt</t>
        </is>
      </c>
      <c r="D1258" s="1">
        <v>154989</v>
      </c>
      <c r="E1258" s="0" t="inlineStr">
        <is>
          <t>IOWA NORTH M GD:154989Z-12PK</t>
        </is>
      </c>
      <c r="F1258" s="2">
        <v>800154989998</v>
      </c>
      <c r="G1258" s="0" t="inlineStr">
        <is>
          <t>MENS</t>
        </is>
      </c>
      <c r="H1258" s="0" t="inlineStr">
        <is>
          <t>12 PACK</t>
        </is>
      </c>
      <c r="I1258" s="0">
        <v>302.4</v>
      </c>
      <c r="J1258" s="0">
        <v>0</v>
      </c>
    </row>
    <row r="1259" spans="1:10" customHeight="0">
      <c r="A1259" s="0">
        <f>HYPERLINK("https://dl.dropboxusercontent.com/scl/fi/jhecaral9pbzr8rn0csdm/eco154986.jpg?rlkey=09m8c9c51inyykwmxtim5trzd&amp;dl=0","Click to download Image")</f>
      </c>
      <c r="B1259" s="0">
        <f>HYPERLINK("https://dl.dropboxusercontent.com/scl/fi/snzpd3st8fz0g9iljkwbl/womens-t-shirt-size-chartsnorth.jpg?rlkey=shh1egeqvql3ln4yk41o55x42&amp;dl=0","Click to download SizeChart")</f>
      </c>
      <c r="C1259" s="0" t="inlineStr">
        <is>
          <t>North Women's Bamboo T-Shirt</t>
        </is>
      </c>
      <c r="D1259" s="1">
        <v>154986</v>
      </c>
      <c r="E1259" s="0" t="inlineStr">
        <is>
          <t>IOWA NORTH W BK:154986AA-XS</t>
        </is>
      </c>
      <c r="F1259" s="2">
        <v>800154986034</v>
      </c>
      <c r="G1259" s="0" t="inlineStr">
        <is>
          <t>WOMENS</t>
        </is>
      </c>
      <c r="H1259" s="0" t="inlineStr">
        <is>
          <t>XS</t>
        </is>
      </c>
      <c r="I1259" s="0">
        <v>30.99</v>
      </c>
      <c r="J1259" s="0">
        <v>15</v>
      </c>
    </row>
    <row r="1260" spans="1:10" customHeight="0">
      <c r="A1260" s="0">
        <f>HYPERLINK("https://dl.dropboxusercontent.com/scl/fi/jhecaral9pbzr8rn0csdm/eco154986.jpg?rlkey=09m8c9c51inyykwmxtim5trzd&amp;dl=0","Click to download Image")</f>
      </c>
      <c r="B1260" s="0">
        <f>HYPERLINK("https://dl.dropboxusercontent.com/scl/fi/snzpd3st8fz0g9iljkwbl/womens-t-shirt-size-chartsnorth.jpg?rlkey=shh1egeqvql3ln4yk41o55x42&amp;dl=0","Click to download SizeChart")</f>
      </c>
      <c r="C1260" s="0" t="inlineStr">
        <is>
          <t>North Women's Bamboo T-Shirt</t>
        </is>
      </c>
      <c r="D1260" s="1">
        <v>154986</v>
      </c>
      <c r="E1260" s="0" t="inlineStr">
        <is>
          <t>IOWA NORTH W BK:154986A-S</t>
        </is>
      </c>
      <c r="F1260" s="2">
        <v>800154986041</v>
      </c>
      <c r="G1260" s="0" t="inlineStr">
        <is>
          <t>WOMENS</t>
        </is>
      </c>
      <c r="H1260" s="0" t="inlineStr">
        <is>
          <t>S</t>
        </is>
      </c>
      <c r="I1260" s="0">
        <v>30.99</v>
      </c>
      <c r="J1260" s="0">
        <v>20</v>
      </c>
    </row>
    <row r="1261" spans="1:10" customHeight="0">
      <c r="A1261" s="0">
        <f>HYPERLINK("https://dl.dropboxusercontent.com/scl/fi/jhecaral9pbzr8rn0csdm/eco154986.jpg?rlkey=09m8c9c51inyykwmxtim5trzd&amp;dl=0","Click to download Image")</f>
      </c>
      <c r="B1261" s="0">
        <f>HYPERLINK("https://dl.dropboxusercontent.com/scl/fi/snzpd3st8fz0g9iljkwbl/womens-t-shirt-size-chartsnorth.jpg?rlkey=shh1egeqvql3ln4yk41o55x42&amp;dl=0","Click to download SizeChart")</f>
      </c>
      <c r="C1261" s="0" t="inlineStr">
        <is>
          <t>North Women's Bamboo T-Shirt</t>
        </is>
      </c>
      <c r="D1261" s="1">
        <v>154986</v>
      </c>
      <c r="E1261" s="0" t="inlineStr">
        <is>
          <t>IOWA NORTH W BK:154986B-M</t>
        </is>
      </c>
      <c r="F1261" s="2">
        <v>800154986058</v>
      </c>
      <c r="G1261" s="0" t="inlineStr">
        <is>
          <t>WOMENS</t>
        </is>
      </c>
      <c r="H1261" s="0" t="inlineStr">
        <is>
          <t>M</t>
        </is>
      </c>
      <c r="I1261" s="0">
        <v>30.99</v>
      </c>
      <c r="J1261" s="0">
        <v>23</v>
      </c>
    </row>
    <row r="1262" spans="1:10" customHeight="0">
      <c r="A1262" s="0">
        <f>HYPERLINK("https://dl.dropboxusercontent.com/scl/fi/jhecaral9pbzr8rn0csdm/eco154986.jpg?rlkey=09m8c9c51inyykwmxtim5trzd&amp;dl=0","Click to download Image")</f>
      </c>
      <c r="B1262" s="0">
        <f>HYPERLINK("https://dl.dropboxusercontent.com/scl/fi/snzpd3st8fz0g9iljkwbl/womens-t-shirt-size-chartsnorth.jpg?rlkey=shh1egeqvql3ln4yk41o55x42&amp;dl=0","Click to download SizeChart")</f>
      </c>
      <c r="C1262" s="0" t="inlineStr">
        <is>
          <t>North Women's Bamboo T-Shirt</t>
        </is>
      </c>
      <c r="D1262" s="1">
        <v>154986</v>
      </c>
      <c r="E1262" s="0" t="inlineStr">
        <is>
          <t>IOWA NORTH W BK:154986C-L</t>
        </is>
      </c>
      <c r="F1262" s="2">
        <v>800154986065</v>
      </c>
      <c r="G1262" s="0" t="inlineStr">
        <is>
          <t>WOMENS</t>
        </is>
      </c>
      <c r="H1262" s="0" t="inlineStr">
        <is>
          <t>L</t>
        </is>
      </c>
      <c r="I1262" s="0">
        <v>30.99</v>
      </c>
      <c r="J1262" s="0">
        <v>17</v>
      </c>
    </row>
    <row r="1263" spans="1:10" customHeight="0">
      <c r="A1263" s="0">
        <f>HYPERLINK("https://dl.dropboxusercontent.com/scl/fi/jhecaral9pbzr8rn0csdm/eco154986.jpg?rlkey=09m8c9c51inyykwmxtim5trzd&amp;dl=0","Click to download Image")</f>
      </c>
      <c r="B1263" s="0">
        <f>HYPERLINK("https://dl.dropboxusercontent.com/scl/fi/snzpd3st8fz0g9iljkwbl/womens-t-shirt-size-chartsnorth.jpg?rlkey=shh1egeqvql3ln4yk41o55x42&amp;dl=0","Click to download SizeChart")</f>
      </c>
      <c r="C1263" s="0" t="inlineStr">
        <is>
          <t>North Women's Bamboo T-Shirt</t>
        </is>
      </c>
      <c r="D1263" s="1">
        <v>154986</v>
      </c>
      <c r="E1263" s="0" t="inlineStr">
        <is>
          <t>IOWA NORTH W BK:154986D-XL</t>
        </is>
      </c>
      <c r="F1263" s="2">
        <v>800154986072</v>
      </c>
      <c r="G1263" s="0" t="inlineStr">
        <is>
          <t>WOMENS</t>
        </is>
      </c>
      <c r="H1263" s="0" t="inlineStr">
        <is>
          <t>XL</t>
        </is>
      </c>
      <c r="I1263" s="0">
        <v>30.99</v>
      </c>
      <c r="J1263" s="0">
        <v>3</v>
      </c>
    </row>
    <row r="1264" spans="1:10" customHeight="0">
      <c r="A1264" s="0">
        <f>HYPERLINK("https://dl.dropboxusercontent.com/scl/fi/jhecaral9pbzr8rn0csdm/eco154986.jpg?rlkey=09m8c9c51inyykwmxtim5trzd&amp;dl=0","Click to download Image")</f>
      </c>
      <c r="B1264" s="0">
        <f>HYPERLINK("https://dl.dropboxusercontent.com/scl/fi/snzpd3st8fz0g9iljkwbl/womens-t-shirt-size-chartsnorth.jpg?rlkey=shh1egeqvql3ln4yk41o55x42&amp;dl=0","Click to download SizeChart")</f>
      </c>
      <c r="C1264" s="0" t="inlineStr">
        <is>
          <t>North Women's Bamboo T-Shirt</t>
        </is>
      </c>
      <c r="D1264" s="1">
        <v>154986</v>
      </c>
      <c r="E1264" s="0" t="inlineStr">
        <is>
          <t>IOWA NORTH W BK:154986E-2XL</t>
        </is>
      </c>
      <c r="F1264" s="2">
        <v>800154986089</v>
      </c>
      <c r="G1264" s="0" t="inlineStr">
        <is>
          <t>WOMENS</t>
        </is>
      </c>
      <c r="H1264" s="0" t="inlineStr">
        <is>
          <t>2XL</t>
        </is>
      </c>
      <c r="I1264" s="0">
        <v>32.99</v>
      </c>
      <c r="J1264" s="0">
        <v>1</v>
      </c>
    </row>
    <row r="1265" spans="1:10" customHeight="0">
      <c r="A1265" s="0">
        <f>HYPERLINK("https://dl.dropboxusercontent.com/scl/fi/jhecaral9pbzr8rn0csdm/eco154986.jpg?rlkey=09m8c9c51inyykwmxtim5trzd&amp;dl=0","Click to download Image")</f>
      </c>
      <c r="B1265" s="0">
        <f>HYPERLINK("https://dl.dropboxusercontent.com/scl/fi/snzpd3st8fz0g9iljkwbl/womens-t-shirt-size-chartsnorth.jpg?rlkey=shh1egeqvql3ln4yk41o55x42&amp;dl=0","Click to download SizeChart")</f>
      </c>
      <c r="C1265" s="0" t="inlineStr">
        <is>
          <t>North Women's Bamboo T-Shirt</t>
        </is>
      </c>
      <c r="D1265" s="1">
        <v>154986</v>
      </c>
      <c r="E1265" s="0" t="inlineStr">
        <is>
          <t>IOWA NORTH W BK:154986F-3XL</t>
        </is>
      </c>
      <c r="F1265" s="2">
        <v>800154986096</v>
      </c>
      <c r="G1265" s="0" t="inlineStr">
        <is>
          <t>WOMENS</t>
        </is>
      </c>
      <c r="H1265" s="0" t="inlineStr">
        <is>
          <t>3XL</t>
        </is>
      </c>
      <c r="I1265" s="0">
        <v>32.99</v>
      </c>
      <c r="J1265" s="0">
        <v>1</v>
      </c>
    </row>
    <row r="1266" spans="1:10" customHeight="0">
      <c r="A1266" s="0">
        <f>HYPERLINK("https://dl.dropboxusercontent.com/scl/fi/jhecaral9pbzr8rn0csdm/eco154986.jpg?rlkey=09m8c9c51inyykwmxtim5trzd&amp;dl=0","Click to download Image")</f>
      </c>
      <c r="B1266" s="0">
        <f>HYPERLINK("https://dl.dropboxusercontent.com/scl/fi/snzpd3st8fz0g9iljkwbl/womens-t-shirt-size-chartsnorth.jpg?rlkey=shh1egeqvql3ln4yk41o55x42&amp;dl=0","Click to download SizeChart")</f>
      </c>
      <c r="C1266" s="0" t="inlineStr">
        <is>
          <t>North Women's Bamboo T-Shirt</t>
        </is>
      </c>
      <c r="D1266" s="1">
        <v>154986</v>
      </c>
      <c r="E1266" s="0" t="inlineStr">
        <is>
          <t>IOWA NORTH W BK:154986Z-12PK</t>
        </is>
      </c>
      <c r="F1266" s="2">
        <v>800154986997</v>
      </c>
      <c r="G1266" s="0" t="inlineStr">
        <is>
          <t>WOMENS</t>
        </is>
      </c>
      <c r="H1266" s="0" t="inlineStr">
        <is>
          <t>12 PACK</t>
        </is>
      </c>
      <c r="I1266" s="0">
        <v>297.6</v>
      </c>
      <c r="J1266" s="0">
        <v>0</v>
      </c>
    </row>
    <row r="1267" spans="1:10" customHeight="0">
      <c r="A1267" s="0">
        <f>HYPERLINK("https://dl.dropboxusercontent.com/scl/fi/wukaobf6jjndrmr98u9uv/eco155014.jpg?rlkey=m7mhcnbj5umc5wrx86d4sznj3&amp;dl=0","Click to download Image")</f>
      </c>
      <c r="B1267" s="0">
        <f>HYPERLINK("https://dl.dropboxusercontent.com/scl/fi/snzpd3st8fz0g9iljkwbl/womens-t-shirt-size-chartsnorth.jpg?rlkey=shh1egeqvql3ln4yk41o55x42&amp;dl=0","Click to download SizeChart")</f>
      </c>
      <c r="C1267" s="0" t="inlineStr">
        <is>
          <t>North Women's Bamboo T-Shirt</t>
        </is>
      </c>
      <c r="D1267" s="1">
        <v>155014</v>
      </c>
      <c r="E1267" s="0" t="inlineStr">
        <is>
          <t>IOWA NORTH W GN:155014AA-XS</t>
        </is>
      </c>
      <c r="F1267" s="2">
        <v>800155014033</v>
      </c>
      <c r="G1267" s="0" t="inlineStr">
        <is>
          <t>WOMENS</t>
        </is>
      </c>
      <c r="H1267" s="0" t="inlineStr">
        <is>
          <t>XS</t>
        </is>
      </c>
      <c r="I1267" s="0">
        <v>30.99</v>
      </c>
      <c r="J1267" s="0">
        <v>9</v>
      </c>
    </row>
    <row r="1268" spans="1:10" customHeight="0">
      <c r="A1268" s="0">
        <f>HYPERLINK("https://dl.dropboxusercontent.com/scl/fi/wukaobf6jjndrmr98u9uv/eco155014.jpg?rlkey=m7mhcnbj5umc5wrx86d4sznj3&amp;dl=0","Click to download Image")</f>
      </c>
      <c r="B1268" s="0">
        <f>HYPERLINK("https://dl.dropboxusercontent.com/scl/fi/snzpd3st8fz0g9iljkwbl/womens-t-shirt-size-chartsnorth.jpg?rlkey=shh1egeqvql3ln4yk41o55x42&amp;dl=0","Click to download SizeChart")</f>
      </c>
      <c r="C1268" s="0" t="inlineStr">
        <is>
          <t>North Women's Bamboo T-Shirt</t>
        </is>
      </c>
      <c r="D1268" s="1">
        <v>155014</v>
      </c>
      <c r="E1268" s="0" t="inlineStr">
        <is>
          <t>IOWA NORTH W GN:155014A-S</t>
        </is>
      </c>
      <c r="F1268" s="2">
        <v>800155014040</v>
      </c>
      <c r="G1268" s="0" t="inlineStr">
        <is>
          <t>WOMENS</t>
        </is>
      </c>
      <c r="H1268" s="0" t="inlineStr">
        <is>
          <t>S</t>
        </is>
      </c>
      <c r="I1268" s="0">
        <v>30.99</v>
      </c>
      <c r="J1268" s="0">
        <v>13</v>
      </c>
    </row>
    <row r="1269" spans="1:10" customHeight="0">
      <c r="A1269" s="0">
        <f>HYPERLINK("https://dl.dropboxusercontent.com/scl/fi/wukaobf6jjndrmr98u9uv/eco155014.jpg?rlkey=m7mhcnbj5umc5wrx86d4sznj3&amp;dl=0","Click to download Image")</f>
      </c>
      <c r="B1269" s="0">
        <f>HYPERLINK("https://dl.dropboxusercontent.com/scl/fi/snzpd3st8fz0g9iljkwbl/womens-t-shirt-size-chartsnorth.jpg?rlkey=shh1egeqvql3ln4yk41o55x42&amp;dl=0","Click to download SizeChart")</f>
      </c>
      <c r="C1269" s="0" t="inlineStr">
        <is>
          <t>North Women's Bamboo T-Shirt</t>
        </is>
      </c>
      <c r="D1269" s="1">
        <v>155014</v>
      </c>
      <c r="E1269" s="0" t="inlineStr">
        <is>
          <t>IOWA NORTH W GN:155014B-M</t>
        </is>
      </c>
      <c r="F1269" s="2">
        <v>800155014057</v>
      </c>
      <c r="G1269" s="0" t="inlineStr">
        <is>
          <t>WOMENS</t>
        </is>
      </c>
      <c r="H1269" s="0" t="inlineStr">
        <is>
          <t>M</t>
        </is>
      </c>
      <c r="I1269" s="0">
        <v>30.99</v>
      </c>
      <c r="J1269" s="0">
        <v>31</v>
      </c>
    </row>
    <row r="1270" spans="1:10" customHeight="0">
      <c r="A1270" s="0">
        <f>HYPERLINK("https://dl.dropboxusercontent.com/scl/fi/wukaobf6jjndrmr98u9uv/eco155014.jpg?rlkey=m7mhcnbj5umc5wrx86d4sznj3&amp;dl=0","Click to download Image")</f>
      </c>
      <c r="B1270" s="0">
        <f>HYPERLINK("https://dl.dropboxusercontent.com/scl/fi/snzpd3st8fz0g9iljkwbl/womens-t-shirt-size-chartsnorth.jpg?rlkey=shh1egeqvql3ln4yk41o55x42&amp;dl=0","Click to download SizeChart")</f>
      </c>
      <c r="C1270" s="0" t="inlineStr">
        <is>
          <t>North Women's Bamboo T-Shirt</t>
        </is>
      </c>
      <c r="D1270" s="1">
        <v>155014</v>
      </c>
      <c r="E1270" s="0" t="inlineStr">
        <is>
          <t>IOWA NORTH W GN:155014C-L</t>
        </is>
      </c>
      <c r="F1270" s="2">
        <v>800155014064</v>
      </c>
      <c r="G1270" s="0" t="inlineStr">
        <is>
          <t>WOMENS</t>
        </is>
      </c>
      <c r="H1270" s="0" t="inlineStr">
        <is>
          <t>L</t>
        </is>
      </c>
      <c r="I1270" s="0">
        <v>30.99</v>
      </c>
      <c r="J1270" s="0">
        <v>31</v>
      </c>
    </row>
    <row r="1271" spans="1:10" customHeight="0">
      <c r="A1271" s="0">
        <f>HYPERLINK("https://dl.dropboxusercontent.com/scl/fi/wukaobf6jjndrmr98u9uv/eco155014.jpg?rlkey=m7mhcnbj5umc5wrx86d4sznj3&amp;dl=0","Click to download Image")</f>
      </c>
      <c r="B1271" s="0">
        <f>HYPERLINK("https://dl.dropboxusercontent.com/scl/fi/snzpd3st8fz0g9iljkwbl/womens-t-shirt-size-chartsnorth.jpg?rlkey=shh1egeqvql3ln4yk41o55x42&amp;dl=0","Click to download SizeChart")</f>
      </c>
      <c r="C1271" s="0" t="inlineStr">
        <is>
          <t>North Women's Bamboo T-Shirt</t>
        </is>
      </c>
      <c r="D1271" s="1">
        <v>155014</v>
      </c>
      <c r="E1271" s="0" t="inlineStr">
        <is>
          <t>IOWA NORTH W GN:155014D-XL</t>
        </is>
      </c>
      <c r="F1271" s="2">
        <v>800155014071</v>
      </c>
      <c r="G1271" s="0" t="inlineStr">
        <is>
          <t>WOMENS</t>
        </is>
      </c>
      <c r="H1271" s="0" t="inlineStr">
        <is>
          <t>XL</t>
        </is>
      </c>
      <c r="I1271" s="0">
        <v>30.99</v>
      </c>
      <c r="J1271" s="0">
        <v>15</v>
      </c>
    </row>
    <row r="1272" spans="1:10" customHeight="0">
      <c r="A1272" s="0">
        <f>HYPERLINK("https://dl.dropboxusercontent.com/scl/fi/wukaobf6jjndrmr98u9uv/eco155014.jpg?rlkey=m7mhcnbj5umc5wrx86d4sznj3&amp;dl=0","Click to download Image")</f>
      </c>
      <c r="B1272" s="0">
        <f>HYPERLINK("https://dl.dropboxusercontent.com/scl/fi/snzpd3st8fz0g9iljkwbl/womens-t-shirt-size-chartsnorth.jpg?rlkey=shh1egeqvql3ln4yk41o55x42&amp;dl=0","Click to download SizeChart")</f>
      </c>
      <c r="C1272" s="0" t="inlineStr">
        <is>
          <t>North Women's Bamboo T-Shirt</t>
        </is>
      </c>
      <c r="D1272" s="1">
        <v>155014</v>
      </c>
      <c r="E1272" s="0" t="inlineStr">
        <is>
          <t>IOWA NORTH W GN:155014E-2XL</t>
        </is>
      </c>
      <c r="F1272" s="2">
        <v>800155014088</v>
      </c>
      <c r="G1272" s="0" t="inlineStr">
        <is>
          <t>WOMENS</t>
        </is>
      </c>
      <c r="H1272" s="0" t="inlineStr">
        <is>
          <t>2XL</t>
        </is>
      </c>
      <c r="I1272" s="0">
        <v>32.99</v>
      </c>
      <c r="J1272" s="0">
        <v>9</v>
      </c>
    </row>
    <row r="1273" spans="1:10" customHeight="0">
      <c r="A1273" s="0">
        <f>HYPERLINK("https://dl.dropboxusercontent.com/scl/fi/wukaobf6jjndrmr98u9uv/eco155014.jpg?rlkey=m7mhcnbj5umc5wrx86d4sznj3&amp;dl=0","Click to download Image")</f>
      </c>
      <c r="B1273" s="0">
        <f>HYPERLINK("https://dl.dropboxusercontent.com/scl/fi/snzpd3st8fz0g9iljkwbl/womens-t-shirt-size-chartsnorth.jpg?rlkey=shh1egeqvql3ln4yk41o55x42&amp;dl=0","Click to download SizeChart")</f>
      </c>
      <c r="C1273" s="0" t="inlineStr">
        <is>
          <t>North Women's Bamboo T-Shirt</t>
        </is>
      </c>
      <c r="D1273" s="1">
        <v>155014</v>
      </c>
      <c r="E1273" s="0" t="inlineStr">
        <is>
          <t>IOWA NORTH W GN:155014F-3XL</t>
        </is>
      </c>
      <c r="F1273" s="2">
        <v>800155014095</v>
      </c>
      <c r="G1273" s="0" t="inlineStr">
        <is>
          <t>WOMENS</t>
        </is>
      </c>
      <c r="H1273" s="0" t="inlineStr">
        <is>
          <t>3XL</t>
        </is>
      </c>
      <c r="I1273" s="0">
        <v>32.99</v>
      </c>
      <c r="J1273" s="0">
        <v>6</v>
      </c>
    </row>
    <row r="1274" spans="1:10" customHeight="0">
      <c r="A1274" s="0">
        <f>HYPERLINK("https://dl.dropboxusercontent.com/scl/fi/wukaobf6jjndrmr98u9uv/eco155014.jpg?rlkey=m7mhcnbj5umc5wrx86d4sznj3&amp;dl=0","Click to download Image")</f>
      </c>
      <c r="B1274" s="0">
        <f>HYPERLINK("https://dl.dropboxusercontent.com/scl/fi/snzpd3st8fz0g9iljkwbl/womens-t-shirt-size-chartsnorth.jpg?rlkey=shh1egeqvql3ln4yk41o55x42&amp;dl=0","Click to download SizeChart")</f>
      </c>
      <c r="C1274" s="0" t="inlineStr">
        <is>
          <t>North Women's Bamboo T-Shirt</t>
        </is>
      </c>
      <c r="D1274" s="1">
        <v>155014</v>
      </c>
      <c r="E1274" s="0" t="inlineStr">
        <is>
          <t>IOWA NORTH W GN:155014Z-12PK</t>
        </is>
      </c>
      <c r="F1274" s="2">
        <v>800155014996</v>
      </c>
      <c r="G1274" s="0" t="inlineStr">
        <is>
          <t>WOMENS</t>
        </is>
      </c>
      <c r="H1274" s="0" t="inlineStr">
        <is>
          <t>12 PACK</t>
        </is>
      </c>
      <c r="I1274" s="0">
        <v>297.6</v>
      </c>
      <c r="J1274" s="0">
        <v>0</v>
      </c>
    </row>
    <row r="1275" spans="1:10" customHeight="0">
      <c r="A1275" s="0">
        <f>HYPERLINK("https://dl.dropboxusercontent.com/scl/fi/mdx2hwh99llzqk28618a5/eco154991.jpg?rlkey=ypmbe6pvaze29vh3hdy7s9abh&amp;dl=0","Click to download Image")</f>
      </c>
      <c r="B1275" s="0">
        <f>HYPERLINK("https://dl.dropboxusercontent.com/scl/fi/snzpd3st8fz0g9iljkwbl/womens-t-shirt-size-chartsnorth.jpg?rlkey=shh1egeqvql3ln4yk41o55x42&amp;dl=0","Click to download SizeChart")</f>
      </c>
      <c r="C1275" s="0" t="inlineStr">
        <is>
          <t>North Women's Bamboo T-Shirt</t>
        </is>
      </c>
      <c r="D1275" s="1">
        <v>154991</v>
      </c>
      <c r="E1275" s="0" t="inlineStr">
        <is>
          <t>IOWA NORTH W OG:154991AA-XS</t>
        </is>
      </c>
      <c r="F1275" s="2">
        <v>800154991038</v>
      </c>
      <c r="G1275" s="0" t="inlineStr">
        <is>
          <t>WOMENS</t>
        </is>
      </c>
      <c r="H1275" s="0" t="inlineStr">
        <is>
          <t>XS</t>
        </is>
      </c>
      <c r="I1275" s="0">
        <v>30.99</v>
      </c>
      <c r="J1275" s="0">
        <v>11</v>
      </c>
    </row>
    <row r="1276" spans="1:10" customHeight="0">
      <c r="A1276" s="0">
        <f>HYPERLINK("https://dl.dropboxusercontent.com/scl/fi/mdx2hwh99llzqk28618a5/eco154991.jpg?rlkey=ypmbe6pvaze29vh3hdy7s9abh&amp;dl=0","Click to download Image")</f>
      </c>
      <c r="B1276" s="0">
        <f>HYPERLINK("https://dl.dropboxusercontent.com/scl/fi/snzpd3st8fz0g9iljkwbl/womens-t-shirt-size-chartsnorth.jpg?rlkey=shh1egeqvql3ln4yk41o55x42&amp;dl=0","Click to download SizeChart")</f>
      </c>
      <c r="C1276" s="0" t="inlineStr">
        <is>
          <t>North Women's Bamboo T-Shirt</t>
        </is>
      </c>
      <c r="D1276" s="1">
        <v>154991</v>
      </c>
      <c r="E1276" s="0" t="inlineStr">
        <is>
          <t>IOWA NORTH W OG:154991A-S</t>
        </is>
      </c>
      <c r="F1276" s="2">
        <v>800154991045</v>
      </c>
      <c r="G1276" s="0" t="inlineStr">
        <is>
          <t>WOMENS</t>
        </is>
      </c>
      <c r="H1276" s="0" t="inlineStr">
        <is>
          <t>S</t>
        </is>
      </c>
      <c r="I1276" s="0">
        <v>30.99</v>
      </c>
      <c r="J1276" s="0">
        <v>5</v>
      </c>
    </row>
    <row r="1277" spans="1:10" customHeight="0">
      <c r="A1277" s="0">
        <f>HYPERLINK("https://dl.dropboxusercontent.com/scl/fi/mdx2hwh99llzqk28618a5/eco154991.jpg?rlkey=ypmbe6pvaze29vh3hdy7s9abh&amp;dl=0","Click to download Image")</f>
      </c>
      <c r="B1277" s="0">
        <f>HYPERLINK("https://dl.dropboxusercontent.com/scl/fi/snzpd3st8fz0g9iljkwbl/womens-t-shirt-size-chartsnorth.jpg?rlkey=shh1egeqvql3ln4yk41o55x42&amp;dl=0","Click to download SizeChart")</f>
      </c>
      <c r="C1277" s="0" t="inlineStr">
        <is>
          <t>North Women's Bamboo T-Shirt</t>
        </is>
      </c>
      <c r="D1277" s="1">
        <v>154991</v>
      </c>
      <c r="E1277" s="0" t="inlineStr">
        <is>
          <t>IOWA NORTH W OG:154991B-M</t>
        </is>
      </c>
      <c r="F1277" s="2">
        <v>800154991052</v>
      </c>
      <c r="G1277" s="0" t="inlineStr">
        <is>
          <t>WOMENS</t>
        </is>
      </c>
      <c r="H1277" s="0" t="inlineStr">
        <is>
          <t>M</t>
        </is>
      </c>
      <c r="I1277" s="0">
        <v>30.99</v>
      </c>
      <c r="J1277" s="0">
        <v>21</v>
      </c>
    </row>
    <row r="1278" spans="1:10" customHeight="0">
      <c r="A1278" s="0">
        <f>HYPERLINK("https://dl.dropboxusercontent.com/scl/fi/mdx2hwh99llzqk28618a5/eco154991.jpg?rlkey=ypmbe6pvaze29vh3hdy7s9abh&amp;dl=0","Click to download Image")</f>
      </c>
      <c r="B1278" s="0">
        <f>HYPERLINK("https://dl.dropboxusercontent.com/scl/fi/snzpd3st8fz0g9iljkwbl/womens-t-shirt-size-chartsnorth.jpg?rlkey=shh1egeqvql3ln4yk41o55x42&amp;dl=0","Click to download SizeChart")</f>
      </c>
      <c r="C1278" s="0" t="inlineStr">
        <is>
          <t>North Women's Bamboo T-Shirt</t>
        </is>
      </c>
      <c r="D1278" s="1">
        <v>154991</v>
      </c>
      <c r="E1278" s="0" t="inlineStr">
        <is>
          <t>IOWA NORTH W OG:154991C-L</t>
        </is>
      </c>
      <c r="F1278" s="2">
        <v>800154991069</v>
      </c>
      <c r="G1278" s="0" t="inlineStr">
        <is>
          <t>WOMENS</t>
        </is>
      </c>
      <c r="H1278" s="0" t="inlineStr">
        <is>
          <t>L</t>
        </is>
      </c>
      <c r="I1278" s="0">
        <v>30.99</v>
      </c>
      <c r="J1278" s="0">
        <v>14</v>
      </c>
    </row>
    <row r="1279" spans="1:10" customHeight="0">
      <c r="A1279" s="0">
        <f>HYPERLINK("https://dl.dropboxusercontent.com/scl/fi/mdx2hwh99llzqk28618a5/eco154991.jpg?rlkey=ypmbe6pvaze29vh3hdy7s9abh&amp;dl=0","Click to download Image")</f>
      </c>
      <c r="B1279" s="0">
        <f>HYPERLINK("https://dl.dropboxusercontent.com/scl/fi/snzpd3st8fz0g9iljkwbl/womens-t-shirt-size-chartsnorth.jpg?rlkey=shh1egeqvql3ln4yk41o55x42&amp;dl=0","Click to download SizeChart")</f>
      </c>
      <c r="C1279" s="0" t="inlineStr">
        <is>
          <t>North Women's Bamboo T-Shirt</t>
        </is>
      </c>
      <c r="D1279" s="1">
        <v>154991</v>
      </c>
      <c r="E1279" s="0" t="inlineStr">
        <is>
          <t>IOWA NORTH W OG:154991D-XL</t>
        </is>
      </c>
      <c r="F1279" s="2">
        <v>800154991076</v>
      </c>
      <c r="G1279" s="0" t="inlineStr">
        <is>
          <t>WOMENS</t>
        </is>
      </c>
      <c r="H1279" s="0" t="inlineStr">
        <is>
          <t>XL</t>
        </is>
      </c>
      <c r="I1279" s="0">
        <v>30.99</v>
      </c>
      <c r="J1279" s="0">
        <v>0</v>
      </c>
    </row>
    <row r="1280" spans="1:10" customHeight="0">
      <c r="A1280" s="0">
        <f>HYPERLINK("https://dl.dropboxusercontent.com/scl/fi/mdx2hwh99llzqk28618a5/eco154991.jpg?rlkey=ypmbe6pvaze29vh3hdy7s9abh&amp;dl=0","Click to download Image")</f>
      </c>
      <c r="B1280" s="0">
        <f>HYPERLINK("https://dl.dropboxusercontent.com/scl/fi/snzpd3st8fz0g9iljkwbl/womens-t-shirt-size-chartsnorth.jpg?rlkey=shh1egeqvql3ln4yk41o55x42&amp;dl=0","Click to download SizeChart")</f>
      </c>
      <c r="C1280" s="0" t="inlineStr">
        <is>
          <t>North Women's Bamboo T-Shirt</t>
        </is>
      </c>
      <c r="D1280" s="1">
        <v>154991</v>
      </c>
      <c r="E1280" s="0" t="inlineStr">
        <is>
          <t>IOWA NORTH W OG:154991E-2XL</t>
        </is>
      </c>
      <c r="F1280" s="2">
        <v>800154991083</v>
      </c>
      <c r="G1280" s="0" t="inlineStr">
        <is>
          <t>WOMENS</t>
        </is>
      </c>
      <c r="H1280" s="0" t="inlineStr">
        <is>
          <t>2XL</t>
        </is>
      </c>
      <c r="I1280" s="0">
        <v>32.99</v>
      </c>
      <c r="J1280" s="0">
        <v>0</v>
      </c>
    </row>
    <row r="1281" spans="1:10" customHeight="0">
      <c r="A1281" s="0">
        <f>HYPERLINK("https://dl.dropboxusercontent.com/scl/fi/mdx2hwh99llzqk28618a5/eco154991.jpg?rlkey=ypmbe6pvaze29vh3hdy7s9abh&amp;dl=0","Click to download Image")</f>
      </c>
      <c r="B1281" s="0">
        <f>HYPERLINK("https://dl.dropboxusercontent.com/scl/fi/snzpd3st8fz0g9iljkwbl/womens-t-shirt-size-chartsnorth.jpg?rlkey=shh1egeqvql3ln4yk41o55x42&amp;dl=0","Click to download SizeChart")</f>
      </c>
      <c r="C1281" s="0" t="inlineStr">
        <is>
          <t>North Women's Bamboo T-Shirt</t>
        </is>
      </c>
      <c r="D1281" s="1">
        <v>154991</v>
      </c>
      <c r="E1281" s="0" t="inlineStr">
        <is>
          <t>IOWA NORTH W OG:154991F-3XL</t>
        </is>
      </c>
      <c r="F1281" s="2">
        <v>800154991090</v>
      </c>
      <c r="G1281" s="0" t="inlineStr">
        <is>
          <t>WOMENS</t>
        </is>
      </c>
      <c r="H1281" s="0" t="inlineStr">
        <is>
          <t>3XL</t>
        </is>
      </c>
      <c r="I1281" s="0">
        <v>32.99</v>
      </c>
      <c r="J1281" s="0">
        <v>0</v>
      </c>
    </row>
    <row r="1282" spans="1:10" customHeight="0">
      <c r="A1282" s="0">
        <f>HYPERLINK("https://dl.dropboxusercontent.com/scl/fi/mdx2hwh99llzqk28618a5/eco154991.jpg?rlkey=ypmbe6pvaze29vh3hdy7s9abh&amp;dl=0","Click to download Image")</f>
      </c>
      <c r="B1282" s="0">
        <f>HYPERLINK("https://dl.dropboxusercontent.com/scl/fi/snzpd3st8fz0g9iljkwbl/womens-t-shirt-size-chartsnorth.jpg?rlkey=shh1egeqvql3ln4yk41o55x42&amp;dl=0","Click to download SizeChart")</f>
      </c>
      <c r="C1282" s="0" t="inlineStr">
        <is>
          <t>North Women's Bamboo T-Shirt</t>
        </is>
      </c>
      <c r="D1282" s="1">
        <v>154991</v>
      </c>
      <c r="E1282" s="0" t="inlineStr">
        <is>
          <t>IOWA NORTH W OG:154991Z-12PK</t>
        </is>
      </c>
      <c r="F1282" s="2">
        <v>800154991991</v>
      </c>
      <c r="G1282" s="0" t="inlineStr">
        <is>
          <t>WOMENS</t>
        </is>
      </c>
      <c r="H1282" s="0" t="inlineStr">
        <is>
          <t>12 PACK</t>
        </is>
      </c>
      <c r="I1282" s="0">
        <v>297.6</v>
      </c>
      <c r="J1282" s="0">
        <v>0</v>
      </c>
    </row>
    <row r="1283" spans="1:10" customHeight="0">
      <c r="A1283" s="0">
        <f>HYPERLINK("https://dl.dropboxusercontent.com/scl/fi/p36nayuadp8z1379k06sv/eco154988.jpg?rlkey=cqe30vw4odgbxpk6m0zh0kwte&amp;dl=0","Click to download Image")</f>
      </c>
      <c r="B1283" s="0">
        <f>HYPERLINK("https://dl.dropboxusercontent.com/scl/fi/snzpd3st8fz0g9iljkwbl/womens-t-shirt-size-chartsnorth.jpg?rlkey=shh1egeqvql3ln4yk41o55x42&amp;dl=0","Click to download SizeChart")</f>
      </c>
      <c r="C1283" s="0" t="inlineStr">
        <is>
          <t>North Women's Bamboo T-Shirt</t>
        </is>
      </c>
      <c r="D1283" s="1">
        <v>154988</v>
      </c>
      <c r="E1283" s="0" t="inlineStr">
        <is>
          <t>IOWA NORTH W DG:154988AA-XS</t>
        </is>
      </c>
      <c r="F1283" s="2">
        <v>800154988038</v>
      </c>
      <c r="G1283" s="0" t="inlineStr">
        <is>
          <t>WOMENS</t>
        </is>
      </c>
      <c r="H1283" s="0" t="inlineStr">
        <is>
          <t>XS</t>
        </is>
      </c>
      <c r="I1283" s="0">
        <v>30.99</v>
      </c>
      <c r="J1283" s="0">
        <v>18</v>
      </c>
    </row>
    <row r="1284" spans="1:10" customHeight="0">
      <c r="A1284" s="0">
        <f>HYPERLINK("https://dl.dropboxusercontent.com/scl/fi/p36nayuadp8z1379k06sv/eco154988.jpg?rlkey=cqe30vw4odgbxpk6m0zh0kwte&amp;dl=0","Click to download Image")</f>
      </c>
      <c r="B1284" s="0">
        <f>HYPERLINK("https://dl.dropboxusercontent.com/scl/fi/snzpd3st8fz0g9iljkwbl/womens-t-shirt-size-chartsnorth.jpg?rlkey=shh1egeqvql3ln4yk41o55x42&amp;dl=0","Click to download SizeChart")</f>
      </c>
      <c r="C1284" s="0" t="inlineStr">
        <is>
          <t>North Women's Bamboo T-Shirt</t>
        </is>
      </c>
      <c r="D1284" s="1">
        <v>154988</v>
      </c>
      <c r="E1284" s="0" t="inlineStr">
        <is>
          <t>IOWA NORTH W DG:154988A-S</t>
        </is>
      </c>
      <c r="F1284" s="2">
        <v>800154988045</v>
      </c>
      <c r="G1284" s="0" t="inlineStr">
        <is>
          <t>WOMENS</t>
        </is>
      </c>
      <c r="H1284" s="0" t="inlineStr">
        <is>
          <t>S</t>
        </is>
      </c>
      <c r="I1284" s="0">
        <v>30.99</v>
      </c>
      <c r="J1284" s="0">
        <v>25</v>
      </c>
    </row>
    <row r="1285" spans="1:10" customHeight="0">
      <c r="A1285" s="0">
        <f>HYPERLINK("https://dl.dropboxusercontent.com/scl/fi/p36nayuadp8z1379k06sv/eco154988.jpg?rlkey=cqe30vw4odgbxpk6m0zh0kwte&amp;dl=0","Click to download Image")</f>
      </c>
      <c r="B1285" s="0">
        <f>HYPERLINK("https://dl.dropboxusercontent.com/scl/fi/snzpd3st8fz0g9iljkwbl/womens-t-shirt-size-chartsnorth.jpg?rlkey=shh1egeqvql3ln4yk41o55x42&amp;dl=0","Click to download SizeChart")</f>
      </c>
      <c r="C1285" s="0" t="inlineStr">
        <is>
          <t>North Women's Bamboo T-Shirt</t>
        </is>
      </c>
      <c r="D1285" s="1">
        <v>154988</v>
      </c>
      <c r="E1285" s="0" t="inlineStr">
        <is>
          <t>IOWA NORTH W DG:154988B-M</t>
        </is>
      </c>
      <c r="F1285" s="2">
        <v>800154988052</v>
      </c>
      <c r="G1285" s="0" t="inlineStr">
        <is>
          <t>WOMENS</t>
        </is>
      </c>
      <c r="H1285" s="0" t="inlineStr">
        <is>
          <t>M</t>
        </is>
      </c>
      <c r="I1285" s="0">
        <v>30.99</v>
      </c>
      <c r="J1285" s="0">
        <v>54</v>
      </c>
    </row>
    <row r="1286" spans="1:10" customHeight="0">
      <c r="A1286" s="0">
        <f>HYPERLINK("https://dl.dropboxusercontent.com/scl/fi/p36nayuadp8z1379k06sv/eco154988.jpg?rlkey=cqe30vw4odgbxpk6m0zh0kwte&amp;dl=0","Click to download Image")</f>
      </c>
      <c r="B1286" s="0">
        <f>HYPERLINK("https://dl.dropboxusercontent.com/scl/fi/snzpd3st8fz0g9iljkwbl/womens-t-shirt-size-chartsnorth.jpg?rlkey=shh1egeqvql3ln4yk41o55x42&amp;dl=0","Click to download SizeChart")</f>
      </c>
      <c r="C1286" s="0" t="inlineStr">
        <is>
          <t>North Women's Bamboo T-Shirt</t>
        </is>
      </c>
      <c r="D1286" s="1">
        <v>154988</v>
      </c>
      <c r="E1286" s="0" t="inlineStr">
        <is>
          <t>IOWA NORTH W DG:154988C-L</t>
        </is>
      </c>
      <c r="F1286" s="2">
        <v>800154988069</v>
      </c>
      <c r="G1286" s="0" t="inlineStr">
        <is>
          <t>WOMENS</t>
        </is>
      </c>
      <c r="H1286" s="0" t="inlineStr">
        <is>
          <t>L</t>
        </is>
      </c>
      <c r="I1286" s="0">
        <v>30.99</v>
      </c>
      <c r="J1286" s="0">
        <v>50</v>
      </c>
    </row>
    <row r="1287" spans="1:10" customHeight="0">
      <c r="A1287" s="0">
        <f>HYPERLINK("https://dl.dropboxusercontent.com/scl/fi/p36nayuadp8z1379k06sv/eco154988.jpg?rlkey=cqe30vw4odgbxpk6m0zh0kwte&amp;dl=0","Click to download Image")</f>
      </c>
      <c r="B1287" s="0">
        <f>HYPERLINK("https://dl.dropboxusercontent.com/scl/fi/snzpd3st8fz0g9iljkwbl/womens-t-shirt-size-chartsnorth.jpg?rlkey=shh1egeqvql3ln4yk41o55x42&amp;dl=0","Click to download SizeChart")</f>
      </c>
      <c r="C1287" s="0" t="inlineStr">
        <is>
          <t>North Women's Bamboo T-Shirt</t>
        </is>
      </c>
      <c r="D1287" s="1">
        <v>154988</v>
      </c>
      <c r="E1287" s="0" t="inlineStr">
        <is>
          <t>IOWA NORTH W DG:154988D-XL</t>
        </is>
      </c>
      <c r="F1287" s="2">
        <v>800154988076</v>
      </c>
      <c r="G1287" s="0" t="inlineStr">
        <is>
          <t>WOMENS</t>
        </is>
      </c>
      <c r="H1287" s="0" t="inlineStr">
        <is>
          <t>XL</t>
        </is>
      </c>
      <c r="I1287" s="0">
        <v>30.99</v>
      </c>
      <c r="J1287" s="0">
        <v>18</v>
      </c>
    </row>
    <row r="1288" spans="1:10" customHeight="0">
      <c r="A1288" s="0">
        <f>HYPERLINK("https://dl.dropboxusercontent.com/scl/fi/p36nayuadp8z1379k06sv/eco154988.jpg?rlkey=cqe30vw4odgbxpk6m0zh0kwte&amp;dl=0","Click to download Image")</f>
      </c>
      <c r="B1288" s="0">
        <f>HYPERLINK("https://dl.dropboxusercontent.com/scl/fi/snzpd3st8fz0g9iljkwbl/womens-t-shirt-size-chartsnorth.jpg?rlkey=shh1egeqvql3ln4yk41o55x42&amp;dl=0","Click to download SizeChart")</f>
      </c>
      <c r="C1288" s="0" t="inlineStr">
        <is>
          <t>North Women's Bamboo T-Shirt</t>
        </is>
      </c>
      <c r="D1288" s="1">
        <v>154988</v>
      </c>
      <c r="E1288" s="0" t="inlineStr">
        <is>
          <t>IOWA NORTH W DG:154988E-2XL</t>
        </is>
      </c>
      <c r="F1288" s="2">
        <v>800154988083</v>
      </c>
      <c r="G1288" s="0" t="inlineStr">
        <is>
          <t>WOMENS</t>
        </is>
      </c>
      <c r="H1288" s="0" t="inlineStr">
        <is>
          <t>2XL</t>
        </is>
      </c>
      <c r="I1288" s="0">
        <v>32.99</v>
      </c>
      <c r="J1288" s="0">
        <v>9</v>
      </c>
    </row>
    <row r="1289" spans="1:10" customHeight="0">
      <c r="A1289" s="0">
        <f>HYPERLINK("https://dl.dropboxusercontent.com/scl/fi/p36nayuadp8z1379k06sv/eco154988.jpg?rlkey=cqe30vw4odgbxpk6m0zh0kwte&amp;dl=0","Click to download Image")</f>
      </c>
      <c r="B1289" s="0">
        <f>HYPERLINK("https://dl.dropboxusercontent.com/scl/fi/snzpd3st8fz0g9iljkwbl/womens-t-shirt-size-chartsnorth.jpg?rlkey=shh1egeqvql3ln4yk41o55x42&amp;dl=0","Click to download SizeChart")</f>
      </c>
      <c r="C1289" s="0" t="inlineStr">
        <is>
          <t>North Women's Bamboo T-Shirt</t>
        </is>
      </c>
      <c r="D1289" s="1">
        <v>154988</v>
      </c>
      <c r="E1289" s="0" t="inlineStr">
        <is>
          <t>IOWA NORTH W DG:154988F-3XL</t>
        </is>
      </c>
      <c r="F1289" s="2">
        <v>800154988090</v>
      </c>
      <c r="G1289" s="0" t="inlineStr">
        <is>
          <t>WOMENS</t>
        </is>
      </c>
      <c r="H1289" s="0" t="inlineStr">
        <is>
          <t>3XL</t>
        </is>
      </c>
      <c r="I1289" s="0">
        <v>32.99</v>
      </c>
      <c r="J1289" s="0">
        <v>12</v>
      </c>
    </row>
    <row r="1290" spans="1:10" customHeight="0">
      <c r="A1290" s="0">
        <f>HYPERLINK("https://dl.dropboxusercontent.com/scl/fi/p36nayuadp8z1379k06sv/eco154988.jpg?rlkey=cqe30vw4odgbxpk6m0zh0kwte&amp;dl=0","Click to download Image")</f>
      </c>
      <c r="B1290" s="0">
        <f>HYPERLINK("https://dl.dropboxusercontent.com/scl/fi/snzpd3st8fz0g9iljkwbl/womens-t-shirt-size-chartsnorth.jpg?rlkey=shh1egeqvql3ln4yk41o55x42&amp;dl=0","Click to download SizeChart")</f>
      </c>
      <c r="C1290" s="0" t="inlineStr">
        <is>
          <t>North Women's Bamboo T-Shirt</t>
        </is>
      </c>
      <c r="D1290" s="1">
        <v>154988</v>
      </c>
      <c r="E1290" s="0" t="inlineStr">
        <is>
          <t>IOWA NORTH W DG:154988Z-12PK</t>
        </is>
      </c>
      <c r="F1290" s="2">
        <v>800154988991</v>
      </c>
      <c r="G1290" s="0" t="inlineStr">
        <is>
          <t>WOMENS</t>
        </is>
      </c>
      <c r="H1290" s="0" t="inlineStr">
        <is>
          <t>12 PACK</t>
        </is>
      </c>
      <c r="I1290" s="0">
        <v>297.6</v>
      </c>
      <c r="J1290" s="0">
        <v>0</v>
      </c>
    </row>
    <row r="1291" spans="1:10" customHeight="0">
      <c r="A1291" s="0">
        <f>HYPERLINK("https://dl.dropboxusercontent.com/scl/fi/zrhov7z1d59mcks5txmbd/eco155012.jpg?rlkey=7d33s2b2bfrisnxtxaewo45ss&amp;dl=0","Click to download Image")</f>
      </c>
      <c r="B1291" s="0">
        <f>HYPERLINK("https://dl.dropboxusercontent.com/scl/fi/snzpd3st8fz0g9iljkwbl/womens-t-shirt-size-chartsnorth.jpg?rlkey=shh1egeqvql3ln4yk41o55x42&amp;dl=0","Click to download SizeChart")</f>
      </c>
      <c r="C1291" s="0" t="inlineStr">
        <is>
          <t>North Women's Bamboo T-Shirt</t>
        </is>
      </c>
      <c r="D1291" s="1">
        <v>155012</v>
      </c>
      <c r="E1291" s="0" t="inlineStr">
        <is>
          <t>IOWA NORTH W ND:155012AA-XS</t>
        </is>
      </c>
      <c r="F1291" s="2">
        <v>800155012039</v>
      </c>
      <c r="G1291" s="0" t="inlineStr">
        <is>
          <t>WOMENS</t>
        </is>
      </c>
      <c r="H1291" s="0" t="inlineStr">
        <is>
          <t>XS</t>
        </is>
      </c>
      <c r="I1291" s="0">
        <v>30.99</v>
      </c>
      <c r="J1291" s="0">
        <v>24</v>
      </c>
    </row>
    <row r="1292" spans="1:10" customHeight="0">
      <c r="A1292" s="0">
        <f>HYPERLINK("https://dl.dropboxusercontent.com/scl/fi/zrhov7z1d59mcks5txmbd/eco155012.jpg?rlkey=7d33s2b2bfrisnxtxaewo45ss&amp;dl=0","Click to download Image")</f>
      </c>
      <c r="B1292" s="0">
        <f>HYPERLINK("https://dl.dropboxusercontent.com/scl/fi/snzpd3st8fz0g9iljkwbl/womens-t-shirt-size-chartsnorth.jpg?rlkey=shh1egeqvql3ln4yk41o55x42&amp;dl=0","Click to download SizeChart")</f>
      </c>
      <c r="C1292" s="0" t="inlineStr">
        <is>
          <t>North Women's Bamboo T-Shirt</t>
        </is>
      </c>
      <c r="D1292" s="1">
        <v>155012</v>
      </c>
      <c r="E1292" s="0" t="inlineStr">
        <is>
          <t>IOWA NORTH W ND:155012A-S</t>
        </is>
      </c>
      <c r="F1292" s="2">
        <v>800155012046</v>
      </c>
      <c r="G1292" s="0" t="inlineStr">
        <is>
          <t>WOMENS</t>
        </is>
      </c>
      <c r="H1292" s="0" t="inlineStr">
        <is>
          <t>S</t>
        </is>
      </c>
      <c r="I1292" s="0">
        <v>30.99</v>
      </c>
      <c r="J1292" s="0">
        <v>31</v>
      </c>
    </row>
    <row r="1293" spans="1:10" customHeight="0">
      <c r="A1293" s="0">
        <f>HYPERLINK("https://dl.dropboxusercontent.com/scl/fi/zrhov7z1d59mcks5txmbd/eco155012.jpg?rlkey=7d33s2b2bfrisnxtxaewo45ss&amp;dl=0","Click to download Image")</f>
      </c>
      <c r="B1293" s="0">
        <f>HYPERLINK("https://dl.dropboxusercontent.com/scl/fi/snzpd3st8fz0g9iljkwbl/womens-t-shirt-size-chartsnorth.jpg?rlkey=shh1egeqvql3ln4yk41o55x42&amp;dl=0","Click to download SizeChart")</f>
      </c>
      <c r="C1293" s="0" t="inlineStr">
        <is>
          <t>North Women's Bamboo T-Shirt</t>
        </is>
      </c>
      <c r="D1293" s="1">
        <v>155012</v>
      </c>
      <c r="E1293" s="0" t="inlineStr">
        <is>
          <t>IOWA NORTH W ND:155012B-M</t>
        </is>
      </c>
      <c r="F1293" s="2">
        <v>800155012053</v>
      </c>
      <c r="G1293" s="0" t="inlineStr">
        <is>
          <t>WOMENS</t>
        </is>
      </c>
      <c r="H1293" s="0" t="inlineStr">
        <is>
          <t>M</t>
        </is>
      </c>
      <c r="I1293" s="0">
        <v>30.99</v>
      </c>
      <c r="J1293" s="0">
        <v>77</v>
      </c>
    </row>
    <row r="1294" spans="1:10" customHeight="0">
      <c r="A1294" s="0">
        <f>HYPERLINK("https://dl.dropboxusercontent.com/scl/fi/zrhov7z1d59mcks5txmbd/eco155012.jpg?rlkey=7d33s2b2bfrisnxtxaewo45ss&amp;dl=0","Click to download Image")</f>
      </c>
      <c r="B1294" s="0">
        <f>HYPERLINK("https://dl.dropboxusercontent.com/scl/fi/snzpd3st8fz0g9iljkwbl/womens-t-shirt-size-chartsnorth.jpg?rlkey=shh1egeqvql3ln4yk41o55x42&amp;dl=0","Click to download SizeChart")</f>
      </c>
      <c r="C1294" s="0" t="inlineStr">
        <is>
          <t>North Women's Bamboo T-Shirt</t>
        </is>
      </c>
      <c r="D1294" s="1">
        <v>155012</v>
      </c>
      <c r="E1294" s="0" t="inlineStr">
        <is>
          <t>IOWA NORTH W ND:155012C-L</t>
        </is>
      </c>
      <c r="F1294" s="2">
        <v>800155012060</v>
      </c>
      <c r="G1294" s="0" t="inlineStr">
        <is>
          <t>WOMENS</t>
        </is>
      </c>
      <c r="H1294" s="0" t="inlineStr">
        <is>
          <t>L</t>
        </is>
      </c>
      <c r="I1294" s="0">
        <v>30.99</v>
      </c>
      <c r="J1294" s="0">
        <v>78</v>
      </c>
    </row>
    <row r="1295" spans="1:10" customHeight="0">
      <c r="A1295" s="0">
        <f>HYPERLINK("https://dl.dropboxusercontent.com/scl/fi/zrhov7z1d59mcks5txmbd/eco155012.jpg?rlkey=7d33s2b2bfrisnxtxaewo45ss&amp;dl=0","Click to download Image")</f>
      </c>
      <c r="B1295" s="0">
        <f>HYPERLINK("https://dl.dropboxusercontent.com/scl/fi/snzpd3st8fz0g9iljkwbl/womens-t-shirt-size-chartsnorth.jpg?rlkey=shh1egeqvql3ln4yk41o55x42&amp;dl=0","Click to download SizeChart")</f>
      </c>
      <c r="C1295" s="0" t="inlineStr">
        <is>
          <t>North Women's Bamboo T-Shirt</t>
        </is>
      </c>
      <c r="D1295" s="1">
        <v>155012</v>
      </c>
      <c r="E1295" s="0" t="inlineStr">
        <is>
          <t>IOWA NORTH W ND:155012D-XL</t>
        </is>
      </c>
      <c r="F1295" s="2">
        <v>800155012077</v>
      </c>
      <c r="G1295" s="0" t="inlineStr">
        <is>
          <t>WOMENS</t>
        </is>
      </c>
      <c r="H1295" s="0" t="inlineStr">
        <is>
          <t>XL</t>
        </is>
      </c>
      <c r="I1295" s="0">
        <v>30.99</v>
      </c>
      <c r="J1295" s="0">
        <v>40</v>
      </c>
    </row>
    <row r="1296" spans="1:10" customHeight="0">
      <c r="A1296" s="0">
        <f>HYPERLINK("https://dl.dropboxusercontent.com/scl/fi/zrhov7z1d59mcks5txmbd/eco155012.jpg?rlkey=7d33s2b2bfrisnxtxaewo45ss&amp;dl=0","Click to download Image")</f>
      </c>
      <c r="B1296" s="0">
        <f>HYPERLINK("https://dl.dropboxusercontent.com/scl/fi/snzpd3st8fz0g9iljkwbl/womens-t-shirt-size-chartsnorth.jpg?rlkey=shh1egeqvql3ln4yk41o55x42&amp;dl=0","Click to download SizeChart")</f>
      </c>
      <c r="C1296" s="0" t="inlineStr">
        <is>
          <t>North Women's Bamboo T-Shirt</t>
        </is>
      </c>
      <c r="D1296" s="1">
        <v>155012</v>
      </c>
      <c r="E1296" s="0" t="inlineStr">
        <is>
          <t>IOWA NORTH W ND:155012E-2XL</t>
        </is>
      </c>
      <c r="F1296" s="2">
        <v>800155012084</v>
      </c>
      <c r="G1296" s="0" t="inlineStr">
        <is>
          <t>WOMENS</t>
        </is>
      </c>
      <c r="H1296" s="0" t="inlineStr">
        <is>
          <t>2XL</t>
        </is>
      </c>
      <c r="I1296" s="0">
        <v>32.99</v>
      </c>
      <c r="J1296" s="0">
        <v>24</v>
      </c>
    </row>
    <row r="1297" spans="1:10" customHeight="0">
      <c r="A1297" s="0">
        <f>HYPERLINK("https://dl.dropboxusercontent.com/scl/fi/zrhov7z1d59mcks5txmbd/eco155012.jpg?rlkey=7d33s2b2bfrisnxtxaewo45ss&amp;dl=0","Click to download Image")</f>
      </c>
      <c r="B1297" s="0">
        <f>HYPERLINK("https://dl.dropboxusercontent.com/scl/fi/snzpd3st8fz0g9iljkwbl/womens-t-shirt-size-chartsnorth.jpg?rlkey=shh1egeqvql3ln4yk41o55x42&amp;dl=0","Click to download SizeChart")</f>
      </c>
      <c r="C1297" s="0" t="inlineStr">
        <is>
          <t>North Women's Bamboo T-Shirt</t>
        </is>
      </c>
      <c r="D1297" s="1">
        <v>155012</v>
      </c>
      <c r="E1297" s="0" t="inlineStr">
        <is>
          <t>IOWA NORTH W ND:155012F-3XL</t>
        </is>
      </c>
      <c r="F1297" s="2">
        <v>800155012091</v>
      </c>
      <c r="G1297" s="0" t="inlineStr">
        <is>
          <t>WOMENS</t>
        </is>
      </c>
      <c r="H1297" s="0" t="inlineStr">
        <is>
          <t>3XL</t>
        </is>
      </c>
      <c r="I1297" s="0">
        <v>32.99</v>
      </c>
      <c r="J1297" s="0">
        <v>20</v>
      </c>
    </row>
    <row r="1298" spans="1:10" customHeight="0">
      <c r="A1298" s="0">
        <f>HYPERLINK("https://dl.dropboxusercontent.com/scl/fi/zrhov7z1d59mcks5txmbd/eco155012.jpg?rlkey=7d33s2b2bfrisnxtxaewo45ss&amp;dl=0","Click to download Image")</f>
      </c>
      <c r="B1298" s="0">
        <f>HYPERLINK("https://dl.dropboxusercontent.com/scl/fi/snzpd3st8fz0g9iljkwbl/womens-t-shirt-size-chartsnorth.jpg?rlkey=shh1egeqvql3ln4yk41o55x42&amp;dl=0","Click to download SizeChart")</f>
      </c>
      <c r="C1298" s="0" t="inlineStr">
        <is>
          <t>North Women's Bamboo T-Shirt</t>
        </is>
      </c>
      <c r="D1298" s="1">
        <v>155012</v>
      </c>
      <c r="E1298" s="0" t="inlineStr">
        <is>
          <t>IOWA NORTH W ND:155012Z-12PK</t>
        </is>
      </c>
      <c r="F1298" s="2">
        <v>800155012992</v>
      </c>
      <c r="G1298" s="0" t="inlineStr">
        <is>
          <t>WOMENS</t>
        </is>
      </c>
      <c r="H1298" s="0" t="inlineStr">
        <is>
          <t>12 PACK</t>
        </is>
      </c>
      <c r="I1298" s="0">
        <v>297.6</v>
      </c>
      <c r="J1298" s="0">
        <v>0</v>
      </c>
    </row>
    <row r="1299" spans="1:10" customHeight="0">
      <c r="A1299" s="0">
        <f>HYPERLINK("https://dl.dropboxusercontent.com/scl/fi/sexztgu3w9s7z3el53x53/mock-163529-ia-cason-y-gy-v1-02.jpg?rlkey=2y470k9g8iu3hl1oayhf0obte&amp;dl=0","Click to download Image")</f>
      </c>
      <c r="B1299" s="0">
        <f>HYPERLINK("https://dl.dropboxusercontent.com/scl/fi/zrty2w9pfe8zx3fmu1r7g/tdlr-yth-t-shirt-size-chartsslate-ss.jpg?rlkey=8lz04jqbtk1ti6aqr6ohzbptd&amp;dl=0","Click to download SizeChart")</f>
      </c>
      <c r="C1299" s="0" t="inlineStr">
        <is>
          <t>Cason Tri-Blend Youth T-Shirt</t>
        </is>
      </c>
      <c r="D1299" s="1">
        <v>163529</v>
      </c>
      <c r="E1299" s="0" t="inlineStr">
        <is>
          <t>IOWA CASON Y GY:163529B-YS</t>
        </is>
      </c>
      <c r="F1299" s="2">
        <v>800163529017</v>
      </c>
      <c r="G1299" s="0" t="inlineStr">
        <is>
          <t>YOUTH</t>
        </is>
      </c>
      <c r="H1299" s="0" t="inlineStr">
        <is>
          <t>YS</t>
        </is>
      </c>
      <c r="I1299" s="0">
        <v>24.99</v>
      </c>
      <c r="J1299" s="0">
        <v>44</v>
      </c>
    </row>
    <row r="1300" spans="1:10" customHeight="0">
      <c r="A1300" s="0">
        <f>HYPERLINK("https://dl.dropboxusercontent.com/scl/fi/sexztgu3w9s7z3el53x53/mock-163529-ia-cason-y-gy-v1-02.jpg?rlkey=2y470k9g8iu3hl1oayhf0obte&amp;dl=0","Click to download Image")</f>
      </c>
      <c r="B1300" s="0">
        <f>HYPERLINK("https://dl.dropboxusercontent.com/scl/fi/zrty2w9pfe8zx3fmu1r7g/tdlr-yth-t-shirt-size-chartsslate-ss.jpg?rlkey=8lz04jqbtk1ti6aqr6ohzbptd&amp;dl=0","Click to download SizeChart")</f>
      </c>
      <c r="C1300" s="0" t="inlineStr">
        <is>
          <t>Cason Tri-Blend Youth T-Shirt</t>
        </is>
      </c>
      <c r="D1300" s="1">
        <v>163529</v>
      </c>
      <c r="E1300" s="0" t="inlineStr">
        <is>
          <t>IOWA CASON Y GY:163529C-YM</t>
        </is>
      </c>
      <c r="F1300" s="2">
        <v>800163529024</v>
      </c>
      <c r="G1300" s="0" t="inlineStr">
        <is>
          <t>YOUTH</t>
        </is>
      </c>
      <c r="H1300" s="0" t="inlineStr">
        <is>
          <t>YM</t>
        </is>
      </c>
      <c r="I1300" s="0">
        <v>24.99</v>
      </c>
      <c r="J1300" s="0">
        <v>44</v>
      </c>
    </row>
    <row r="1301" spans="1:10" customHeight="0">
      <c r="A1301" s="0">
        <f>HYPERLINK("https://dl.dropboxusercontent.com/scl/fi/sexztgu3w9s7z3el53x53/mock-163529-ia-cason-y-gy-v1-02.jpg?rlkey=2y470k9g8iu3hl1oayhf0obte&amp;dl=0","Click to download Image")</f>
      </c>
      <c r="B1301" s="0">
        <f>HYPERLINK("https://dl.dropboxusercontent.com/scl/fi/zrty2w9pfe8zx3fmu1r7g/tdlr-yth-t-shirt-size-chartsslate-ss.jpg?rlkey=8lz04jqbtk1ti6aqr6ohzbptd&amp;dl=0","Click to download SizeChart")</f>
      </c>
      <c r="C1301" s="0" t="inlineStr">
        <is>
          <t>Cason Tri-Blend Youth T-Shirt</t>
        </is>
      </c>
      <c r="D1301" s="1">
        <v>163529</v>
      </c>
      <c r="E1301" s="0" t="inlineStr">
        <is>
          <t>IOWA CASON Y GY:163529D-YL</t>
        </is>
      </c>
      <c r="F1301" s="2">
        <v>800163529031</v>
      </c>
      <c r="G1301" s="0" t="inlineStr">
        <is>
          <t>YOUTH</t>
        </is>
      </c>
      <c r="H1301" s="0" t="inlineStr">
        <is>
          <t>YL</t>
        </is>
      </c>
      <c r="I1301" s="0">
        <v>24.99</v>
      </c>
      <c r="J1301" s="0">
        <v>31</v>
      </c>
    </row>
    <row r="1302" spans="1:10" customHeight="0">
      <c r="A1302" s="0">
        <f>HYPERLINK("https://dl.dropboxusercontent.com/scl/fi/sexztgu3w9s7z3el53x53/mock-163529-ia-cason-y-gy-v1-02.jpg?rlkey=2y470k9g8iu3hl1oayhf0obte&amp;dl=0","Click to download Image")</f>
      </c>
      <c r="B1302" s="0">
        <f>HYPERLINK("https://dl.dropboxusercontent.com/scl/fi/zrty2w9pfe8zx3fmu1r7g/tdlr-yth-t-shirt-size-chartsslate-ss.jpg?rlkey=8lz04jqbtk1ti6aqr6ohzbptd&amp;dl=0","Click to download SizeChart")</f>
      </c>
      <c r="C1302" s="0" t="inlineStr">
        <is>
          <t>Cason Tri-Blend Youth T-Shirt</t>
        </is>
      </c>
      <c r="D1302" s="1">
        <v>163529</v>
      </c>
      <c r="E1302" s="0" t="inlineStr">
        <is>
          <t>IOWA CASON Y GY:163529E-YXL</t>
        </is>
      </c>
      <c r="F1302" s="2">
        <v>800163529048</v>
      </c>
      <c r="G1302" s="0" t="inlineStr">
        <is>
          <t>YOUTH</t>
        </is>
      </c>
      <c r="H1302" s="0" t="inlineStr">
        <is>
          <t>YXL</t>
        </is>
      </c>
      <c r="I1302" s="0">
        <v>24.99</v>
      </c>
      <c r="J1302" s="0">
        <v>43</v>
      </c>
    </row>
    <row r="1303" spans="1:10" customHeight="0">
      <c r="A1303" s="0">
        <f>HYPERLINK("https://dl.dropboxusercontent.com/scl/fi/e4sc5ra88hqrjum5rdy55/destint.jpg?rlkey=ncaosrtfob5xbyk4j6x6g4p0g&amp;dl=0","Click to download Image")</f>
      </c>
      <c r="C1303" s="0" t="inlineStr">
        <is>
          <t>Destin Straw Hat</t>
        </is>
      </c>
      <c r="D1303" s="1">
        <v>150770</v>
      </c>
      <c r="E1303" s="0" t="inlineStr">
        <is>
          <t>IOWA DESTIN M BK:150770</t>
        </is>
      </c>
      <c r="F1303" s="2">
        <v>700150770005</v>
      </c>
      <c r="G1303" s="0" t="inlineStr">
        <is>
          <t>MENS</t>
        </is>
      </c>
      <c r="H1303" s="0" t="inlineStr">
        <is>
          <t>STANDARD MENS</t>
        </is>
      </c>
      <c r="I1303" s="0">
        <v>39.99</v>
      </c>
      <c r="J1303" s="0">
        <v>89</v>
      </c>
    </row>
    <row r="1304" spans="1:10" customHeight="0">
      <c r="A1304" s="0">
        <f>HYPERLINK("https://dl.dropboxusercontent.com/scl/fi/x6wlxo6r40b9v5n2wcsna/135022-f2.jpg?rlkey=gsvlf6q3rhf6y015vgpdmgpv6&amp;dl=0","Click to download Image")</f>
      </c>
      <c r="C1304" s="0" t="inlineStr">
        <is>
          <t>Waterproof Phone Bag</t>
        </is>
      </c>
      <c r="D1304" s="1">
        <v>135022</v>
      </c>
      <c r="E1304" s="0" t="inlineStr">
        <is>
          <t>IOWA PH BAG BK:135022</t>
        </is>
      </c>
      <c r="F1304" s="2">
        <v>900135022017</v>
      </c>
      <c r="I1304" s="0">
        <v>9.99</v>
      </c>
      <c r="J1304" s="0">
        <v>47</v>
      </c>
    </row>
    <row r="1305" spans="1:10" customHeight="0">
      <c r="A1305" s="0">
        <f>HYPERLINK("https://dl.dropboxusercontent.com/scl/fi/snub3so9j6j5b0fedpruc/herky.jpg?rlkey=5pjbxmugbc6e3uyboht0yicmt&amp;dl=0","Click to download Image")</f>
      </c>
      <c r="C1305" s="0" t="inlineStr">
        <is>
          <t>Mascot Golf Club Covers</t>
        </is>
      </c>
      <c r="D1305" s="1">
        <v>138881</v>
      </c>
      <c r="E1305" s="0" t="inlineStr">
        <is>
          <t>HERKY CLUB COVER:138881</t>
        </is>
      </c>
      <c r="F1305" s="2">
        <v>900138881017</v>
      </c>
      <c r="I1305" s="0">
        <v>28.99</v>
      </c>
      <c r="J1305" s="0">
        <v>90</v>
      </c>
    </row>
    <row r="1306" spans="1:10" customHeight="0">
      <c r="A1306" s="0">
        <f>HYPERLINK("https://dl.dropboxusercontent.com/scl/fi/hz4zh69wtyzs7orluqgc0/screenshot2023-08-15at7.45.06am02346.png?rlkey=95ghodlf2rduvqvf484gb16gn&amp;dl=0","Click to download Image")</f>
      </c>
      <c r="C1306" s="0" t="inlineStr">
        <is>
          <t>Maeve Crossbody</t>
        </is>
      </c>
      <c r="D1306" s="1">
        <v>143970</v>
      </c>
      <c r="E1306" s="0" t="inlineStr">
        <is>
          <t>IOWA MAEVE BC: 143970</t>
        </is>
      </c>
      <c r="F1306" s="2">
        <v>900143970010</v>
      </c>
      <c r="I1306" s="0">
        <v>39.99</v>
      </c>
      <c r="J1306" s="0">
        <v>6</v>
      </c>
    </row>
    <row r="1307" spans="1:10" customHeight="0">
      <c r="A1307" s="0">
        <f>HYPERLINK("https://dl.dropboxusercontent.com/scl/fi/gjjed1jwm991kx65w72uk/hardin.jpg?rlkey=xqukycn6w55mu7u6eyutnjgzg&amp;dl=0","Click to download Image")</f>
      </c>
      <c r="C1307" s="0" t="inlineStr">
        <is>
          <t>Hardin Reversible ANF Jersey</t>
        </is>
      </c>
      <c r="D1307" s="1">
        <v>142947</v>
      </c>
      <c r="E1307" s="0" t="inlineStr">
        <is>
          <t>IOWA HARDIN M BK:142947A-S</t>
        </is>
      </c>
      <c r="F1307" s="2">
        <v>800142947047</v>
      </c>
      <c r="G1307" s="0" t="inlineStr">
        <is>
          <t>MENS</t>
        </is>
      </c>
      <c r="H1307" s="0" t="inlineStr">
        <is>
          <t>S</t>
        </is>
      </c>
      <c r="I1307" s="0">
        <v>39.99</v>
      </c>
      <c r="J1307" s="0">
        <v>7</v>
      </c>
    </row>
    <row r="1308" spans="1:10" customHeight="0">
      <c r="A1308" s="0">
        <f>HYPERLINK("https://dl.dropboxusercontent.com/scl/fi/gjjed1jwm991kx65w72uk/hardin.jpg?rlkey=xqukycn6w55mu7u6eyutnjgzg&amp;dl=0","Click to download Image")</f>
      </c>
      <c r="C1308" s="0" t="inlineStr">
        <is>
          <t>Hardin Reversible ANF Jersey</t>
        </is>
      </c>
      <c r="D1308" s="1">
        <v>142947</v>
      </c>
      <c r="E1308" s="0" t="inlineStr">
        <is>
          <t>IOWA HARDIN M BK:142947B-M</t>
        </is>
      </c>
      <c r="F1308" s="2">
        <v>800142947054</v>
      </c>
      <c r="G1308" s="0" t="inlineStr">
        <is>
          <t>MENS</t>
        </is>
      </c>
      <c r="H1308" s="0" t="inlineStr">
        <is>
          <t>M</t>
        </is>
      </c>
      <c r="I1308" s="0">
        <v>39.99</v>
      </c>
      <c r="J1308" s="0">
        <v>7</v>
      </c>
    </row>
    <row r="1309" spans="1:10" customHeight="0">
      <c r="A1309" s="0">
        <f>HYPERLINK("https://dl.dropboxusercontent.com/scl/fi/gjjed1jwm991kx65w72uk/hardin.jpg?rlkey=xqukycn6w55mu7u6eyutnjgzg&amp;dl=0","Click to download Image")</f>
      </c>
      <c r="C1309" s="0" t="inlineStr">
        <is>
          <t>Hardin Reversible ANF Jersey</t>
        </is>
      </c>
      <c r="D1309" s="1">
        <v>142947</v>
      </c>
      <c r="E1309" s="0" t="inlineStr">
        <is>
          <t>IOWA HARDIN M BK:142947C-L</t>
        </is>
      </c>
      <c r="F1309" s="2">
        <v>800142947061</v>
      </c>
      <c r="G1309" s="0" t="inlineStr">
        <is>
          <t>MENS</t>
        </is>
      </c>
      <c r="H1309" s="0" t="inlineStr">
        <is>
          <t>L</t>
        </is>
      </c>
      <c r="I1309" s="0">
        <v>39.99</v>
      </c>
      <c r="J1309" s="0">
        <v>5</v>
      </c>
    </row>
    <row r="1310" spans="1:10" customHeight="0">
      <c r="A1310" s="0">
        <f>HYPERLINK("https://dl.dropboxusercontent.com/scl/fi/gjjed1jwm991kx65w72uk/hardin.jpg?rlkey=xqukycn6w55mu7u6eyutnjgzg&amp;dl=0","Click to download Image")</f>
      </c>
      <c r="C1310" s="0" t="inlineStr">
        <is>
          <t>Hardin Reversible ANF Jersey</t>
        </is>
      </c>
      <c r="D1310" s="1">
        <v>142947</v>
      </c>
      <c r="E1310" s="0" t="inlineStr">
        <is>
          <t>IOWA HARDIN M BK:142947D-XL</t>
        </is>
      </c>
      <c r="F1310" s="2">
        <v>800142947078</v>
      </c>
      <c r="G1310" s="0" t="inlineStr">
        <is>
          <t>MENS</t>
        </is>
      </c>
      <c r="H1310" s="0" t="inlineStr">
        <is>
          <t>XL</t>
        </is>
      </c>
      <c r="I1310" s="0">
        <v>39.99</v>
      </c>
      <c r="J1310" s="0">
        <v>2</v>
      </c>
    </row>
    <row r="1311" spans="1:10" customHeight="0">
      <c r="A1311" s="0">
        <f>HYPERLINK("https://dl.dropboxusercontent.com/scl/fi/gjjed1jwm991kx65w72uk/hardin.jpg?rlkey=xqukycn6w55mu7u6eyutnjgzg&amp;dl=0","Click to download Image")</f>
      </c>
      <c r="C1311" s="0" t="inlineStr">
        <is>
          <t>Hardin Reversible ANF Jersey</t>
        </is>
      </c>
      <c r="D1311" s="1">
        <v>142947</v>
      </c>
      <c r="E1311" s="0" t="inlineStr">
        <is>
          <t>IOWA HARDIN M BK:142947E-2XL</t>
        </is>
      </c>
      <c r="F1311" s="2">
        <v>800142947085</v>
      </c>
      <c r="G1311" s="0" t="inlineStr">
        <is>
          <t>MENS</t>
        </is>
      </c>
      <c r="H1311" s="0" t="inlineStr">
        <is>
          <t>2XL</t>
        </is>
      </c>
      <c r="I1311" s="0">
        <v>41.99</v>
      </c>
      <c r="J1311" s="0">
        <v>8</v>
      </c>
    </row>
    <row r="1312" spans="1:10" customHeight="0">
      <c r="A1312" s="0">
        <f>HYPERLINK("https://dl.dropboxusercontent.com/scl/fi/gjjed1jwm991kx65w72uk/hardin.jpg?rlkey=xqukycn6w55mu7u6eyutnjgzg&amp;dl=0","Click to download Image")</f>
      </c>
      <c r="C1312" s="0" t="inlineStr">
        <is>
          <t>Hardin Reversible ANF Jersey</t>
        </is>
      </c>
      <c r="D1312" s="1">
        <v>142947</v>
      </c>
      <c r="E1312" s="0" t="inlineStr">
        <is>
          <t>IOWA HARDIN M BK:142947F-3XL</t>
        </is>
      </c>
      <c r="F1312" s="2">
        <v>800142947092</v>
      </c>
      <c r="G1312" s="0" t="inlineStr">
        <is>
          <t>MENS</t>
        </is>
      </c>
      <c r="H1312" s="0" t="inlineStr">
        <is>
          <t>3XL</t>
        </is>
      </c>
      <c r="I1312" s="0">
        <v>41.99</v>
      </c>
      <c r="J1312" s="0">
        <v>1</v>
      </c>
    </row>
    <row r="1313" spans="1:10" customHeight="0">
      <c r="A1313" s="0">
        <f>HYPERLINK("https://dl.dropboxusercontent.com/scl/fi/obchbzwh3a73r4f32uqa8/143399.jpg?rlkey=e4rad818frbhb0ja3710mkt5u&amp;dl=0","Click to download Image")</f>
      </c>
      <c r="B1313" s="0">
        <f>HYPERLINK("https://dl.dropboxusercontent.com/scl/fi/96op6hry0dmbf8x4ri39o/jersey-size-chartsfottball-jersey.jpg?rlkey=8guwyratwai3ezvxg78qx4s8u&amp;dl=0","Click to download SizeChart")</f>
      </c>
      <c r="C1313" s="0" t="inlineStr">
        <is>
          <t>Iowa Football Jersey #23</t>
        </is>
      </c>
      <c r="D1313" s="1">
        <v>143399</v>
      </c>
      <c r="E1313" s="0" t="inlineStr">
        <is>
          <t>IOWA FOOTBA M BK:143399A-S</t>
        </is>
      </c>
      <c r="F1313" s="2">
        <v>800143399043</v>
      </c>
      <c r="G1313" s="0" t="inlineStr">
        <is>
          <t>MENS</t>
        </is>
      </c>
      <c r="H1313" s="0" t="inlineStr">
        <is>
          <t>S</t>
        </is>
      </c>
      <c r="I1313" s="0">
        <v>69.99</v>
      </c>
      <c r="J1313" s="0">
        <v>2</v>
      </c>
    </row>
    <row r="1314" spans="1:10" customHeight="0">
      <c r="A1314" s="0">
        <f>HYPERLINK("https://dl.dropboxusercontent.com/scl/fi/obchbzwh3a73r4f32uqa8/143399.jpg?rlkey=e4rad818frbhb0ja3710mkt5u&amp;dl=0","Click to download Image")</f>
      </c>
      <c r="B1314" s="0">
        <f>HYPERLINK("https://dl.dropboxusercontent.com/scl/fi/96op6hry0dmbf8x4ri39o/jersey-size-chartsfottball-jersey.jpg?rlkey=8guwyratwai3ezvxg78qx4s8u&amp;dl=0","Click to download SizeChart")</f>
      </c>
      <c r="C1314" s="0" t="inlineStr">
        <is>
          <t>Iowa Football Jersey #23</t>
        </is>
      </c>
      <c r="D1314" s="1">
        <v>143399</v>
      </c>
      <c r="E1314" s="0" t="inlineStr">
        <is>
          <t>IOWA FOOTBA M BK:143399B-M</t>
        </is>
      </c>
      <c r="F1314" s="2">
        <v>800143399050</v>
      </c>
      <c r="G1314" s="0" t="inlineStr">
        <is>
          <t>MENS</t>
        </is>
      </c>
      <c r="H1314" s="0" t="inlineStr">
        <is>
          <t>M</t>
        </is>
      </c>
      <c r="I1314" s="0">
        <v>69.99</v>
      </c>
      <c r="J1314" s="0">
        <v>13</v>
      </c>
    </row>
    <row r="1315" spans="1:10" customHeight="0">
      <c r="A1315" s="0">
        <f>HYPERLINK("https://dl.dropboxusercontent.com/scl/fi/obchbzwh3a73r4f32uqa8/143399.jpg?rlkey=e4rad818frbhb0ja3710mkt5u&amp;dl=0","Click to download Image")</f>
      </c>
      <c r="B1315" s="0">
        <f>HYPERLINK("https://dl.dropboxusercontent.com/scl/fi/96op6hry0dmbf8x4ri39o/jersey-size-chartsfottball-jersey.jpg?rlkey=8guwyratwai3ezvxg78qx4s8u&amp;dl=0","Click to download SizeChart")</f>
      </c>
      <c r="C1315" s="0" t="inlineStr">
        <is>
          <t>Iowa Football Jersey #23</t>
        </is>
      </c>
      <c r="D1315" s="1">
        <v>143399</v>
      </c>
      <c r="E1315" s="0" t="inlineStr">
        <is>
          <t>IOWA FOOTBA M BK:143399C-L</t>
        </is>
      </c>
      <c r="F1315" s="2">
        <v>800143399067</v>
      </c>
      <c r="G1315" s="0" t="inlineStr">
        <is>
          <t>MENS</t>
        </is>
      </c>
      <c r="H1315" s="0" t="inlineStr">
        <is>
          <t>L</t>
        </is>
      </c>
      <c r="I1315" s="0">
        <v>69.99</v>
      </c>
      <c r="J1315" s="0">
        <v>22</v>
      </c>
    </row>
    <row r="1316" spans="1:10" customHeight="0">
      <c r="A1316" s="0">
        <f>HYPERLINK("https://dl.dropboxusercontent.com/scl/fi/obchbzwh3a73r4f32uqa8/143399.jpg?rlkey=e4rad818frbhb0ja3710mkt5u&amp;dl=0","Click to download Image")</f>
      </c>
      <c r="B1316" s="0">
        <f>HYPERLINK("https://dl.dropboxusercontent.com/scl/fi/96op6hry0dmbf8x4ri39o/jersey-size-chartsfottball-jersey.jpg?rlkey=8guwyratwai3ezvxg78qx4s8u&amp;dl=0","Click to download SizeChart")</f>
      </c>
      <c r="C1316" s="0" t="inlineStr">
        <is>
          <t>Iowa Football Jersey #23</t>
        </is>
      </c>
      <c r="D1316" s="1">
        <v>143399</v>
      </c>
      <c r="E1316" s="0" t="inlineStr">
        <is>
          <t>IOWA FOOTBA M BK:143399D-XL</t>
        </is>
      </c>
      <c r="F1316" s="2">
        <v>800143399074</v>
      </c>
      <c r="G1316" s="0" t="inlineStr">
        <is>
          <t>MENS</t>
        </is>
      </c>
      <c r="H1316" s="0" t="inlineStr">
        <is>
          <t>XL</t>
        </is>
      </c>
      <c r="I1316" s="0">
        <v>69.99</v>
      </c>
      <c r="J1316" s="0">
        <v>22</v>
      </c>
    </row>
    <row r="1317" spans="1:10" customHeight="0">
      <c r="A1317" s="0">
        <f>HYPERLINK("https://dl.dropboxusercontent.com/scl/fi/obchbzwh3a73r4f32uqa8/143399.jpg?rlkey=e4rad818frbhb0ja3710mkt5u&amp;dl=0","Click to download Image")</f>
      </c>
      <c r="B1317" s="0">
        <f>HYPERLINK("https://dl.dropboxusercontent.com/scl/fi/96op6hry0dmbf8x4ri39o/jersey-size-chartsfottball-jersey.jpg?rlkey=8guwyratwai3ezvxg78qx4s8u&amp;dl=0","Click to download SizeChart")</f>
      </c>
      <c r="C1317" s="0" t="inlineStr">
        <is>
          <t>Iowa Football Jersey #23</t>
        </is>
      </c>
      <c r="D1317" s="1">
        <v>143399</v>
      </c>
      <c r="E1317" s="0" t="inlineStr">
        <is>
          <t>IOWA FOOTBA M BK:143399E-2XL</t>
        </is>
      </c>
      <c r="F1317" s="2">
        <v>800143399081</v>
      </c>
      <c r="G1317" s="0" t="inlineStr">
        <is>
          <t>MENS</t>
        </is>
      </c>
      <c r="H1317" s="0" t="inlineStr">
        <is>
          <t>2XL</t>
        </is>
      </c>
      <c r="I1317" s="0">
        <v>71.99</v>
      </c>
      <c r="J1317" s="0">
        <v>18</v>
      </c>
    </row>
    <row r="1318" spans="1:10" customHeight="0">
      <c r="A1318" s="0">
        <f>HYPERLINK("https://dl.dropboxusercontent.com/scl/fi/obchbzwh3a73r4f32uqa8/143399.jpg?rlkey=e4rad818frbhb0ja3710mkt5u&amp;dl=0","Click to download Image")</f>
      </c>
      <c r="B1318" s="0">
        <f>HYPERLINK("https://dl.dropboxusercontent.com/scl/fi/96op6hry0dmbf8x4ri39o/jersey-size-chartsfottball-jersey.jpg?rlkey=8guwyratwai3ezvxg78qx4s8u&amp;dl=0","Click to download SizeChart")</f>
      </c>
      <c r="C1318" s="0" t="inlineStr">
        <is>
          <t>Iowa Football Jersey #23</t>
        </is>
      </c>
      <c r="D1318" s="1">
        <v>143399</v>
      </c>
      <c r="E1318" s="0" t="inlineStr">
        <is>
          <t>IOWA FOOTBA M BK:143399F-3XL</t>
        </is>
      </c>
      <c r="F1318" s="2">
        <v>800143399098</v>
      </c>
      <c r="G1318" s="0" t="inlineStr">
        <is>
          <t>MENS</t>
        </is>
      </c>
      <c r="H1318" s="0" t="inlineStr">
        <is>
          <t>3XL</t>
        </is>
      </c>
      <c r="I1318" s="0">
        <v>71.99</v>
      </c>
      <c r="J1318" s="0">
        <v>6</v>
      </c>
    </row>
    <row r="1319" spans="1:10" customHeight="0">
      <c r="A1319" s="0">
        <f>HYPERLINK("https://dl.dropboxusercontent.com/scl/fi/obchbzwh3a73r4f32uqa8/143399.jpg?rlkey=e4rad818frbhb0ja3710mkt5u&amp;dl=0","Click to download Image")</f>
      </c>
      <c r="B1319" s="0">
        <f>HYPERLINK("https://dl.dropboxusercontent.com/scl/fi/96op6hry0dmbf8x4ri39o/jersey-size-chartsfottball-jersey.jpg?rlkey=8guwyratwai3ezvxg78qx4s8u&amp;dl=0","Click to download SizeChart")</f>
      </c>
      <c r="C1319" s="0" t="inlineStr">
        <is>
          <t>Iowa Football Jersey #23</t>
        </is>
      </c>
      <c r="D1319" s="1">
        <v>143399</v>
      </c>
      <c r="E1319" s="0" t="inlineStr">
        <is>
          <t>IOWA FOOTBA M BK 12PK:143399Z-12PK</t>
        </is>
      </c>
      <c r="F1319" s="2">
        <v>800143399999</v>
      </c>
      <c r="G1319" s="0" t="inlineStr">
        <is>
          <t>MENS</t>
        </is>
      </c>
      <c r="H1319" s="0" t="inlineStr">
        <is>
          <t>12 PACK</t>
        </is>
      </c>
      <c r="I1319" s="0">
        <v>676.7</v>
      </c>
      <c r="J1319" s="0">
        <v>0</v>
      </c>
    </row>
    <row r="1320" spans="1:10" customHeight="0">
      <c r="A1320" s="0">
        <f>HYPERLINK("https://dl.dropboxusercontent.com/scl/fi/yzm50r700cuufbwniqjsg/thumb-sideline2023beaniesiaportland67231.jpg?rlkey=60jdns0ob3t7neii1ry8f9vpb&amp;dl=0","Click to download Image")</f>
      </c>
      <c r="C1320" s="0" t="inlineStr">
        <is>
          <t>Portland Women's Knit Headband</t>
        </is>
      </c>
      <c r="D1320" s="1">
        <v>140861</v>
      </c>
      <c r="E1320" s="0" t="inlineStr">
        <is>
          <t>IOWA PORTLAND W BK:140861</t>
        </is>
      </c>
      <c r="F1320" s="2">
        <v>700140861010</v>
      </c>
      <c r="G1320" s="0" t="inlineStr">
        <is>
          <t>WOMENS</t>
        </is>
      </c>
      <c r="H1320" s="0" t="inlineStr">
        <is>
          <t>WOMENS</t>
        </is>
      </c>
      <c r="I1320" s="0">
        <v>24.99</v>
      </c>
      <c r="J1320" s="0">
        <v>2</v>
      </c>
    </row>
    <row r="1321" spans="1:10" customHeight="0">
      <c r="A1321" s="0">
        <f>HYPERLINK("https://dl.dropboxusercontent.com/scl/fi/e2g9wox7ijfbbruusqjoz/slate-144277-f.jpg?rlkey=i8lfuz5z9609frwwlgmy0ojmm&amp;dl=0","Click to download Image")</f>
      </c>
      <c r="C1321" s="0" t="inlineStr">
        <is>
          <t>Slate Men's Ultra-Soft T-Shirt</t>
        </is>
      </c>
      <c r="D1321" s="1">
        <v>144277</v>
      </c>
      <c r="E1321" s="0" t="inlineStr">
        <is>
          <t>IOWA M SLATE WE:144277A-S</t>
        </is>
      </c>
      <c r="F1321" s="2">
        <v>800144277043</v>
      </c>
      <c r="G1321" s="0" t="inlineStr">
        <is>
          <t>MENS</t>
        </is>
      </c>
      <c r="H1321" s="0" t="inlineStr">
        <is>
          <t>S</t>
        </is>
      </c>
      <c r="I1321" s="0">
        <v>24.99</v>
      </c>
      <c r="J1321" s="0">
        <v>1</v>
      </c>
    </row>
    <row r="1322" spans="1:10" customHeight="0">
      <c r="A1322" s="0">
        <f>HYPERLINK("https://dl.dropboxusercontent.com/scl/fi/e2g9wox7ijfbbruusqjoz/slate-144277-f.jpg?rlkey=i8lfuz5z9609frwwlgmy0ojmm&amp;dl=0","Click to download Image")</f>
      </c>
      <c r="C1322" s="0" t="inlineStr">
        <is>
          <t>Slate Men's Ultra-Soft T-Shirt</t>
        </is>
      </c>
      <c r="D1322" s="1">
        <v>144277</v>
      </c>
      <c r="E1322" s="0" t="inlineStr">
        <is>
          <t>IOWA M SLATE WE:144277B-M</t>
        </is>
      </c>
      <c r="F1322" s="2">
        <v>800144277050</v>
      </c>
      <c r="G1322" s="0" t="inlineStr">
        <is>
          <t>MENS</t>
        </is>
      </c>
      <c r="H1322" s="0" t="inlineStr">
        <is>
          <t>M</t>
        </is>
      </c>
      <c r="I1322" s="0">
        <v>24.99</v>
      </c>
      <c r="J1322" s="0">
        <v>5</v>
      </c>
    </row>
    <row r="1323" spans="1:10" customHeight="0">
      <c r="A1323" s="0">
        <f>HYPERLINK("https://dl.dropboxusercontent.com/scl/fi/e2g9wox7ijfbbruusqjoz/slate-144277-f.jpg?rlkey=i8lfuz5z9609frwwlgmy0ojmm&amp;dl=0","Click to download Image")</f>
      </c>
      <c r="C1323" s="0" t="inlineStr">
        <is>
          <t>Slate Men's Ultra-Soft T-Shirt</t>
        </is>
      </c>
      <c r="D1323" s="1">
        <v>144277</v>
      </c>
      <c r="E1323" s="0" t="inlineStr">
        <is>
          <t>IOWA M SLATE WE:144277C-L</t>
        </is>
      </c>
      <c r="F1323" s="2">
        <v>800144277067</v>
      </c>
      <c r="G1323" s="0" t="inlineStr">
        <is>
          <t>MENS</t>
        </is>
      </c>
      <c r="H1323" s="0" t="inlineStr">
        <is>
          <t>L</t>
        </is>
      </c>
      <c r="I1323" s="0">
        <v>24.99</v>
      </c>
      <c r="J1323" s="0">
        <v>10</v>
      </c>
    </row>
    <row r="1324" spans="1:10" customHeight="0">
      <c r="A1324" s="0">
        <f>HYPERLINK("https://dl.dropboxusercontent.com/scl/fi/e2g9wox7ijfbbruusqjoz/slate-144277-f.jpg?rlkey=i8lfuz5z9609frwwlgmy0ojmm&amp;dl=0","Click to download Image")</f>
      </c>
      <c r="C1324" s="0" t="inlineStr">
        <is>
          <t>Slate Men's Ultra-Soft T-Shirt</t>
        </is>
      </c>
      <c r="D1324" s="1">
        <v>144277</v>
      </c>
      <c r="E1324" s="0" t="inlineStr">
        <is>
          <t>IOWA M SLATE WE:144277D-XL</t>
        </is>
      </c>
      <c r="F1324" s="2">
        <v>800144277074</v>
      </c>
      <c r="G1324" s="0" t="inlineStr">
        <is>
          <t>MENS</t>
        </is>
      </c>
      <c r="H1324" s="0" t="inlineStr">
        <is>
          <t>XL</t>
        </is>
      </c>
      <c r="I1324" s="0">
        <v>24.99</v>
      </c>
      <c r="J1324" s="0">
        <v>9</v>
      </c>
    </row>
    <row r="1325" spans="1:10" customHeight="0">
      <c r="A1325" s="0">
        <f>HYPERLINK("https://dl.dropboxusercontent.com/scl/fi/e2g9wox7ijfbbruusqjoz/slate-144277-f.jpg?rlkey=i8lfuz5z9609frwwlgmy0ojmm&amp;dl=0","Click to download Image")</f>
      </c>
      <c r="C1325" s="0" t="inlineStr">
        <is>
          <t>Slate Men's Ultra-Soft T-Shirt</t>
        </is>
      </c>
      <c r="D1325" s="1">
        <v>144277</v>
      </c>
      <c r="E1325" s="0" t="inlineStr">
        <is>
          <t>IOWA M SLATE WE:144277E-2XL</t>
        </is>
      </c>
      <c r="F1325" s="2">
        <v>800144277081</v>
      </c>
      <c r="G1325" s="0" t="inlineStr">
        <is>
          <t>MENS</t>
        </is>
      </c>
      <c r="H1325" s="0" t="inlineStr">
        <is>
          <t>2XL</t>
        </is>
      </c>
      <c r="I1325" s="0">
        <v>28.99</v>
      </c>
      <c r="J1325" s="0">
        <v>5</v>
      </c>
    </row>
    <row r="1326" spans="1:10" customHeight="0">
      <c r="A1326" s="0">
        <f>HYPERLINK("https://dl.dropboxusercontent.com/scl/fi/e2g9wox7ijfbbruusqjoz/slate-144277-f.jpg?rlkey=i8lfuz5z9609frwwlgmy0ojmm&amp;dl=0","Click to download Image")</f>
      </c>
      <c r="C1326" s="0" t="inlineStr">
        <is>
          <t>Slate Men's Ultra-Soft T-Shirt</t>
        </is>
      </c>
      <c r="D1326" s="1">
        <v>144277</v>
      </c>
      <c r="E1326" s="0" t="inlineStr">
        <is>
          <t>IOWA M SLATE WE:144277F-3XL</t>
        </is>
      </c>
      <c r="F1326" s="2">
        <v>800144277098</v>
      </c>
      <c r="G1326" s="0" t="inlineStr">
        <is>
          <t>MENS</t>
        </is>
      </c>
      <c r="H1326" s="0" t="inlineStr">
        <is>
          <t>3XL</t>
        </is>
      </c>
      <c r="I1326" s="0">
        <v>28.99</v>
      </c>
      <c r="J1326" s="0">
        <v>5</v>
      </c>
    </row>
    <row r="1327" spans="1:10" customHeight="0">
      <c r="A1327" s="0">
        <f>HYPERLINK("https://dl.dropboxusercontent.com/scl/fi/i7clluez2av51be07mvqo/142528.jpg?rlkey=9wecfsapygtlzflhwmug7nnlb&amp;dl=0","Click to download Image")</f>
      </c>
      <c r="C1327" s="0" t="inlineStr">
        <is>
          <t>Colt Travel Cubes - 3pk</t>
        </is>
      </c>
      <c r="D1327" s="1">
        <v>142528</v>
      </c>
      <c r="E1327" s="0" t="inlineStr">
        <is>
          <t>IOWA COLT M BK:142528</t>
        </is>
      </c>
      <c r="F1327" s="2">
        <v>900142528014</v>
      </c>
      <c r="I1327" s="0">
        <v>39.99</v>
      </c>
      <c r="J1327" s="0">
        <v>15</v>
      </c>
    </row>
    <row r="1328" spans="1:10" customHeight="0">
      <c r="A1328" s="0">
        <f>HYPERLINK("https://dl.dropboxusercontent.com/scl/fi/56t4gr1wp8htwfjohcapp/spencer.jpg?rlkey=93ddmgoxhruaezyms7ucj6b6a&amp;dl=0","Click to download Image")</f>
      </c>
      <c r="B1328" s="0">
        <f>HYPERLINK("https://dl.dropboxusercontent.com/scl/fi/i9n0pi7kwn5kcb80x4bxc/mens-hoodie-size-chartsspencer-holden.jpg?rlkey=pj04irriz3on3oubf0tvsfisg&amp;dl=0","Click to download SizeChart")</f>
      </c>
      <c r="C1328" s="0" t="inlineStr">
        <is>
          <t>Spencer Men's Heavyweight Hoodie</t>
        </is>
      </c>
      <c r="D1328" s="1">
        <v>106383</v>
      </c>
      <c r="E1328" s="0" t="inlineStr">
        <is>
          <t>IOWA SPENCER:106383A - S</t>
        </is>
      </c>
      <c r="G1328" s="0" t="inlineStr">
        <is>
          <t>MENS</t>
        </is>
      </c>
      <c r="H1328" s="0" t="inlineStr">
        <is>
          <t>S</t>
        </is>
      </c>
      <c r="I1328" s="0">
        <v>49.99</v>
      </c>
      <c r="J1328" s="0">
        <v>6</v>
      </c>
    </row>
    <row r="1329" spans="1:10" customHeight="0">
      <c r="A1329" s="0">
        <f>HYPERLINK("https://dl.dropboxusercontent.com/scl/fi/56t4gr1wp8htwfjohcapp/spencer.jpg?rlkey=93ddmgoxhruaezyms7ucj6b6a&amp;dl=0","Click to download Image")</f>
      </c>
      <c r="B1329" s="0">
        <f>HYPERLINK("https://dl.dropboxusercontent.com/scl/fi/i9n0pi7kwn5kcb80x4bxc/mens-hoodie-size-chartsspencer-holden.jpg?rlkey=pj04irriz3on3oubf0tvsfisg&amp;dl=0","Click to download SizeChart")</f>
      </c>
      <c r="C1329" s="0" t="inlineStr">
        <is>
          <t>Spencer Men's Heavyweight Hoodie</t>
        </is>
      </c>
      <c r="D1329" s="1">
        <v>106383</v>
      </c>
      <c r="E1329" s="0" t="inlineStr">
        <is>
          <t>IOWA SPENCER:106383B - M</t>
        </is>
      </c>
      <c r="G1329" s="0" t="inlineStr">
        <is>
          <t>MENS</t>
        </is>
      </c>
      <c r="H1329" s="0" t="inlineStr">
        <is>
          <t>M</t>
        </is>
      </c>
      <c r="I1329" s="0">
        <v>49.99</v>
      </c>
      <c r="J1329" s="0">
        <v>2</v>
      </c>
    </row>
    <row r="1330" spans="1:10" customHeight="0">
      <c r="A1330" s="0">
        <f>HYPERLINK("https://dl.dropboxusercontent.com/scl/fi/56t4gr1wp8htwfjohcapp/spencer.jpg?rlkey=93ddmgoxhruaezyms7ucj6b6a&amp;dl=0","Click to download Image")</f>
      </c>
      <c r="B1330" s="0">
        <f>HYPERLINK("https://dl.dropboxusercontent.com/scl/fi/i9n0pi7kwn5kcb80x4bxc/mens-hoodie-size-chartsspencer-holden.jpg?rlkey=pj04irriz3on3oubf0tvsfisg&amp;dl=0","Click to download SizeChart")</f>
      </c>
      <c r="C1330" s="0" t="inlineStr">
        <is>
          <t>Spencer Men's Heavyweight Hoodie</t>
        </is>
      </c>
      <c r="D1330" s="1">
        <v>106383</v>
      </c>
      <c r="E1330" s="0" t="inlineStr">
        <is>
          <t>IOWA SPENCER:106383C - L</t>
        </is>
      </c>
      <c r="G1330" s="0" t="inlineStr">
        <is>
          <t>MENS</t>
        </is>
      </c>
      <c r="H1330" s="0" t="inlineStr">
        <is>
          <t>L</t>
        </is>
      </c>
      <c r="I1330" s="0">
        <v>49.99</v>
      </c>
      <c r="J1330" s="0">
        <v>3</v>
      </c>
    </row>
    <row r="1331" spans="1:10" customHeight="0">
      <c r="A1331" s="0">
        <f>HYPERLINK("https://dl.dropboxusercontent.com/scl/fi/56t4gr1wp8htwfjohcapp/spencer.jpg?rlkey=93ddmgoxhruaezyms7ucj6b6a&amp;dl=0","Click to download Image")</f>
      </c>
      <c r="B1331" s="0">
        <f>HYPERLINK("https://dl.dropboxusercontent.com/scl/fi/i9n0pi7kwn5kcb80x4bxc/mens-hoodie-size-chartsspencer-holden.jpg?rlkey=pj04irriz3on3oubf0tvsfisg&amp;dl=0","Click to download SizeChart")</f>
      </c>
      <c r="C1331" s="0" t="inlineStr">
        <is>
          <t>Spencer Men's Heavyweight Hoodie</t>
        </is>
      </c>
      <c r="D1331" s="1">
        <v>106383</v>
      </c>
      <c r="E1331" s="0" t="inlineStr">
        <is>
          <t>IA SPENCER:106383D - XL</t>
        </is>
      </c>
      <c r="G1331" s="0" t="inlineStr">
        <is>
          <t>MENS</t>
        </is>
      </c>
      <c r="H1331" s="0" t="inlineStr">
        <is>
          <t>XL</t>
        </is>
      </c>
      <c r="I1331" s="0">
        <v>49.99</v>
      </c>
      <c r="J1331" s="0">
        <v>7</v>
      </c>
    </row>
    <row r="1332" spans="1:10" customHeight="0">
      <c r="A1332" s="0">
        <f>HYPERLINK("https://dl.dropboxusercontent.com/scl/fi/56t4gr1wp8htwfjohcapp/spencer.jpg?rlkey=93ddmgoxhruaezyms7ucj6b6a&amp;dl=0","Click to download Image")</f>
      </c>
      <c r="B1332" s="0">
        <f>HYPERLINK("https://dl.dropboxusercontent.com/scl/fi/i9n0pi7kwn5kcb80x4bxc/mens-hoodie-size-chartsspencer-holden.jpg?rlkey=pj04irriz3on3oubf0tvsfisg&amp;dl=0","Click to download SizeChart")</f>
      </c>
      <c r="C1332" s="0" t="inlineStr">
        <is>
          <t>Spencer Men's Heavyweight Hoodie</t>
        </is>
      </c>
      <c r="D1332" s="1">
        <v>106383</v>
      </c>
      <c r="E1332" s="0" t="inlineStr">
        <is>
          <t>IOWA SPENCER:106383E - 2XL</t>
        </is>
      </c>
      <c r="G1332" s="0" t="inlineStr">
        <is>
          <t>MENS</t>
        </is>
      </c>
      <c r="H1332" s="0" t="inlineStr">
        <is>
          <t>2XL</t>
        </is>
      </c>
      <c r="I1332" s="0">
        <v>49.99</v>
      </c>
      <c r="J1332" s="0">
        <v>0</v>
      </c>
    </row>
    <row r="1333" spans="1:10" customHeight="0">
      <c r="A1333" s="0">
        <f>HYPERLINK("https://dl.dropboxusercontent.com/scl/fi/56t4gr1wp8htwfjohcapp/spencer.jpg?rlkey=93ddmgoxhruaezyms7ucj6b6a&amp;dl=0","Click to download Image")</f>
      </c>
      <c r="B1333" s="0">
        <f>HYPERLINK("https://dl.dropboxusercontent.com/scl/fi/i9n0pi7kwn5kcb80x4bxc/mens-hoodie-size-chartsspencer-holden.jpg?rlkey=pj04irriz3on3oubf0tvsfisg&amp;dl=0","Click to download SizeChart")</f>
      </c>
      <c r="C1333" s="0" t="inlineStr">
        <is>
          <t>Spencer Men's Heavyweight Hoodie</t>
        </is>
      </c>
      <c r="D1333" s="1">
        <v>106383</v>
      </c>
      <c r="E1333" s="0" t="inlineStr">
        <is>
          <t>IA SPENCER:106383F - 3XL</t>
        </is>
      </c>
      <c r="G1333" s="0" t="inlineStr">
        <is>
          <t>MENS</t>
        </is>
      </c>
      <c r="H1333" s="0" t="inlineStr">
        <is>
          <t>3XL</t>
        </is>
      </c>
      <c r="I1333" s="0">
        <v>49.99</v>
      </c>
      <c r="J1333" s="0">
        <v>11</v>
      </c>
    </row>
    <row r="1334" spans="1:10" customHeight="0">
      <c r="A1334" s="0">
        <f>HYPERLINK("https://dl.dropboxusercontent.com/scl/fi/d347pj8rcq9dvxd23m6j6/cayden75657.jpg?rlkey=cp44k4544ke2wvbopbgicq27s&amp;dl=0","Click to download Image")</f>
      </c>
      <c r="B1334" s="0">
        <f>HYPERLINK("https://dl.dropboxusercontent.com/scl/fi/37ebh31hz6u3n5pztgvx7/mens-jackets-size-chartscayden.jpg?rlkey=2lcfrbt6st2ai9xvvbzrn74m6&amp;dl=0","Click to download SizeChart")</f>
      </c>
      <c r="C1334" s="0" t="inlineStr">
        <is>
          <t>Cayden Men's Sublimated Bomber Jacket</t>
        </is>
      </c>
      <c r="D1334" s="1">
        <v>143095</v>
      </c>
      <c r="E1334" s="0" t="inlineStr">
        <is>
          <t>IOWA CAYDEN M BK:143095A-S</t>
        </is>
      </c>
      <c r="F1334" s="2">
        <v>800143095044</v>
      </c>
      <c r="G1334" s="0" t="inlineStr">
        <is>
          <t>MENS</t>
        </is>
      </c>
      <c r="H1334" s="0" t="inlineStr">
        <is>
          <t>S</t>
        </is>
      </c>
      <c r="I1334" s="0">
        <v>99.99</v>
      </c>
      <c r="J1334" s="0">
        <v>0</v>
      </c>
    </row>
    <row r="1335" spans="1:10" customHeight="0">
      <c r="A1335" s="0">
        <f>HYPERLINK("https://dl.dropboxusercontent.com/scl/fi/d347pj8rcq9dvxd23m6j6/cayden75657.jpg?rlkey=cp44k4544ke2wvbopbgicq27s&amp;dl=0","Click to download Image")</f>
      </c>
      <c r="B1335" s="0">
        <f>HYPERLINK("https://dl.dropboxusercontent.com/scl/fi/37ebh31hz6u3n5pztgvx7/mens-jackets-size-chartscayden.jpg?rlkey=2lcfrbt6st2ai9xvvbzrn74m6&amp;dl=0","Click to download SizeChart")</f>
      </c>
      <c r="C1335" s="0" t="inlineStr">
        <is>
          <t>Cayden Men's Sublimated Bomber Jacket</t>
        </is>
      </c>
      <c r="D1335" s="1">
        <v>143095</v>
      </c>
      <c r="E1335" s="0" t="inlineStr">
        <is>
          <t>IOWA CAYDEN M BK:143095B-M</t>
        </is>
      </c>
      <c r="F1335" s="2">
        <v>800143095051</v>
      </c>
      <c r="G1335" s="0" t="inlineStr">
        <is>
          <t>MENS</t>
        </is>
      </c>
      <c r="H1335" s="0" t="inlineStr">
        <is>
          <t>M</t>
        </is>
      </c>
      <c r="I1335" s="0">
        <v>99.99</v>
      </c>
      <c r="J1335" s="0">
        <v>0</v>
      </c>
    </row>
    <row r="1336" spans="1:10" customHeight="0">
      <c r="A1336" s="0">
        <f>HYPERLINK("https://dl.dropboxusercontent.com/scl/fi/d347pj8rcq9dvxd23m6j6/cayden75657.jpg?rlkey=cp44k4544ke2wvbopbgicq27s&amp;dl=0","Click to download Image")</f>
      </c>
      <c r="B1336" s="0">
        <f>HYPERLINK("https://dl.dropboxusercontent.com/scl/fi/37ebh31hz6u3n5pztgvx7/mens-jackets-size-chartscayden.jpg?rlkey=2lcfrbt6st2ai9xvvbzrn74m6&amp;dl=0","Click to download SizeChart")</f>
      </c>
      <c r="C1336" s="0" t="inlineStr">
        <is>
          <t>Cayden Men's Sublimated Bomber Jacket</t>
        </is>
      </c>
      <c r="D1336" s="1">
        <v>143095</v>
      </c>
      <c r="E1336" s="0" t="inlineStr">
        <is>
          <t>IOWA CAYDEN M BK:143095C-L</t>
        </is>
      </c>
      <c r="F1336" s="2">
        <v>800143095068</v>
      </c>
      <c r="G1336" s="0" t="inlineStr">
        <is>
          <t>MENS</t>
        </is>
      </c>
      <c r="H1336" s="0" t="inlineStr">
        <is>
          <t>L</t>
        </is>
      </c>
      <c r="I1336" s="0">
        <v>99.99</v>
      </c>
      <c r="J1336" s="0">
        <v>0</v>
      </c>
    </row>
    <row r="1337" spans="1:10" customHeight="0">
      <c r="A1337" s="0">
        <f>HYPERLINK("https://dl.dropboxusercontent.com/scl/fi/d347pj8rcq9dvxd23m6j6/cayden75657.jpg?rlkey=cp44k4544ke2wvbopbgicq27s&amp;dl=0","Click to download Image")</f>
      </c>
      <c r="B1337" s="0">
        <f>HYPERLINK("https://dl.dropboxusercontent.com/scl/fi/37ebh31hz6u3n5pztgvx7/mens-jackets-size-chartscayden.jpg?rlkey=2lcfrbt6st2ai9xvvbzrn74m6&amp;dl=0","Click to download SizeChart")</f>
      </c>
      <c r="C1337" s="0" t="inlineStr">
        <is>
          <t>Cayden Men's Sublimated Bomber Jacket</t>
        </is>
      </c>
      <c r="D1337" s="1">
        <v>143095</v>
      </c>
      <c r="E1337" s="0" t="inlineStr">
        <is>
          <t>IOWA CAYDEN M BK:143095D-XL</t>
        </is>
      </c>
      <c r="F1337" s="2">
        <v>800143095075</v>
      </c>
      <c r="G1337" s="0" t="inlineStr">
        <is>
          <t>MENS</t>
        </is>
      </c>
      <c r="H1337" s="0" t="inlineStr">
        <is>
          <t>XL</t>
        </is>
      </c>
      <c r="I1337" s="0">
        <v>99.99</v>
      </c>
      <c r="J1337" s="0">
        <v>6</v>
      </c>
    </row>
    <row r="1338" spans="1:10" customHeight="0">
      <c r="A1338" s="0">
        <f>HYPERLINK("https://dl.dropboxusercontent.com/scl/fi/d347pj8rcq9dvxd23m6j6/cayden75657.jpg?rlkey=cp44k4544ke2wvbopbgicq27s&amp;dl=0","Click to download Image")</f>
      </c>
      <c r="B1338" s="0">
        <f>HYPERLINK("https://dl.dropboxusercontent.com/scl/fi/37ebh31hz6u3n5pztgvx7/mens-jackets-size-chartscayden.jpg?rlkey=2lcfrbt6st2ai9xvvbzrn74m6&amp;dl=0","Click to download SizeChart")</f>
      </c>
      <c r="C1338" s="0" t="inlineStr">
        <is>
          <t>Cayden Men's Sublimated Bomber Jacket</t>
        </is>
      </c>
      <c r="D1338" s="1">
        <v>143095</v>
      </c>
      <c r="E1338" s="0" t="inlineStr">
        <is>
          <t>IOWA CAYDEN M BK:143095E-2XL</t>
        </is>
      </c>
      <c r="F1338" s="2">
        <v>800143095082</v>
      </c>
      <c r="G1338" s="0" t="inlineStr">
        <is>
          <t>MENS</t>
        </is>
      </c>
      <c r="H1338" s="0" t="inlineStr">
        <is>
          <t>2XL</t>
        </is>
      </c>
      <c r="I1338" s="0">
        <v>101.99</v>
      </c>
      <c r="J1338" s="0">
        <v>3</v>
      </c>
    </row>
    <row r="1339" spans="1:10" customHeight="0">
      <c r="A1339" s="0">
        <f>HYPERLINK("https://dl.dropboxusercontent.com/scl/fi/d347pj8rcq9dvxd23m6j6/cayden75657.jpg?rlkey=cp44k4544ke2wvbopbgicq27s&amp;dl=0","Click to download Image")</f>
      </c>
      <c r="B1339" s="0">
        <f>HYPERLINK("https://dl.dropboxusercontent.com/scl/fi/37ebh31hz6u3n5pztgvx7/mens-jackets-size-chartscayden.jpg?rlkey=2lcfrbt6st2ai9xvvbzrn74m6&amp;dl=0","Click to download SizeChart")</f>
      </c>
      <c r="C1339" s="0" t="inlineStr">
        <is>
          <t>Cayden Men's Sublimated Bomber Jacket</t>
        </is>
      </c>
      <c r="D1339" s="1">
        <v>143095</v>
      </c>
      <c r="E1339" s="0" t="inlineStr">
        <is>
          <t>IOWA CAYDEN M BK:143095F-3XL</t>
        </is>
      </c>
      <c r="F1339" s="2">
        <v>800143095099</v>
      </c>
      <c r="G1339" s="0" t="inlineStr">
        <is>
          <t>MENS</t>
        </is>
      </c>
      <c r="H1339" s="0" t="inlineStr">
        <is>
          <t>3XL</t>
        </is>
      </c>
      <c r="I1339" s="0">
        <v>101.99</v>
      </c>
      <c r="J1339" s="0">
        <v>0</v>
      </c>
    </row>
    <row r="1340" spans="1:10" customHeight="0">
      <c r="A1340" s="0">
        <f>HYPERLINK("https://dl.dropboxusercontent.com/scl/fi/yn0xiku53qd6pu225n0kj/116425-af.jpg?rlkey=97zz9rsjaxamlxltblkwh72kt&amp;dl=0","Click to download Image")</f>
      </c>
      <c r="B1340" s="0">
        <f>HYPERLINK("https://dl.dropboxusercontent.com/scl/fi/m09aywzragy2b343fkih2/mens-pullover-size-chartscorey.jpg?rlkey=ft7llgsqxuvu83uvaupq5qswx&amp;dl=0","Click to download SizeChart")</f>
      </c>
      <c r="C1340" s="0" t="inlineStr">
        <is>
          <t>Corey Men's 1/4 Zip Scuba Pullover</t>
        </is>
      </c>
      <c r="D1340" s="1">
        <v>116425</v>
      </c>
      <c r="E1340" s="0" t="inlineStr">
        <is>
          <t>IOWA COREY M BLACK:116425A - S</t>
        </is>
      </c>
      <c r="G1340" s="0" t="inlineStr">
        <is>
          <t>MENS</t>
        </is>
      </c>
      <c r="H1340" s="0" t="inlineStr">
        <is>
          <t>S</t>
        </is>
      </c>
      <c r="I1340" s="0">
        <v>49.99</v>
      </c>
      <c r="J1340" s="0">
        <v>6</v>
      </c>
    </row>
    <row r="1341" spans="1:10" customHeight="0">
      <c r="A1341" s="0">
        <f>HYPERLINK("https://dl.dropboxusercontent.com/scl/fi/yn0xiku53qd6pu225n0kj/116425-af.jpg?rlkey=97zz9rsjaxamlxltblkwh72kt&amp;dl=0","Click to download Image")</f>
      </c>
      <c r="B1341" s="0">
        <f>HYPERLINK("https://dl.dropboxusercontent.com/scl/fi/m09aywzragy2b343fkih2/mens-pullover-size-chartscorey.jpg?rlkey=ft7llgsqxuvu83uvaupq5qswx&amp;dl=0","Click to download SizeChart")</f>
      </c>
      <c r="C1341" s="0" t="inlineStr">
        <is>
          <t>Corey Men's 1/4 Zip Scuba Pullover</t>
        </is>
      </c>
      <c r="D1341" s="1">
        <v>116425</v>
      </c>
      <c r="E1341" s="0" t="inlineStr">
        <is>
          <t>IOWA COREY M BLACK:116425B - M</t>
        </is>
      </c>
      <c r="G1341" s="0" t="inlineStr">
        <is>
          <t>MENS</t>
        </is>
      </c>
      <c r="H1341" s="0" t="inlineStr">
        <is>
          <t>M</t>
        </is>
      </c>
      <c r="I1341" s="0">
        <v>49.99</v>
      </c>
      <c r="J1341" s="0">
        <v>7</v>
      </c>
    </row>
    <row r="1342" spans="1:10" customHeight="0">
      <c r="A1342" s="0">
        <f>HYPERLINK("https://dl.dropboxusercontent.com/scl/fi/yn0xiku53qd6pu225n0kj/116425-af.jpg?rlkey=97zz9rsjaxamlxltblkwh72kt&amp;dl=0","Click to download Image")</f>
      </c>
      <c r="B1342" s="0">
        <f>HYPERLINK("https://dl.dropboxusercontent.com/scl/fi/m09aywzragy2b343fkih2/mens-pullover-size-chartscorey.jpg?rlkey=ft7llgsqxuvu83uvaupq5qswx&amp;dl=0","Click to download SizeChart")</f>
      </c>
      <c r="C1342" s="0" t="inlineStr">
        <is>
          <t>Corey Men's 1/4 Zip Scuba Pullover</t>
        </is>
      </c>
      <c r="D1342" s="1">
        <v>116425</v>
      </c>
      <c r="E1342" s="0" t="inlineStr">
        <is>
          <t>IOWA COREY M BLACK:116425C - L</t>
        </is>
      </c>
      <c r="G1342" s="0" t="inlineStr">
        <is>
          <t>MENS</t>
        </is>
      </c>
      <c r="H1342" s="0" t="inlineStr">
        <is>
          <t>L</t>
        </is>
      </c>
      <c r="I1342" s="0">
        <v>49.99</v>
      </c>
      <c r="J1342" s="0">
        <v>3</v>
      </c>
    </row>
    <row r="1343" spans="1:10" customHeight="0">
      <c r="A1343" s="0">
        <f>HYPERLINK("https://dl.dropboxusercontent.com/scl/fi/yn0xiku53qd6pu225n0kj/116425-af.jpg?rlkey=97zz9rsjaxamlxltblkwh72kt&amp;dl=0","Click to download Image")</f>
      </c>
      <c r="B1343" s="0">
        <f>HYPERLINK("https://dl.dropboxusercontent.com/scl/fi/m09aywzragy2b343fkih2/mens-pullover-size-chartscorey.jpg?rlkey=ft7llgsqxuvu83uvaupq5qswx&amp;dl=0","Click to download SizeChart")</f>
      </c>
      <c r="C1343" s="0" t="inlineStr">
        <is>
          <t>Corey Men's 1/4 Zip Scuba Pullover</t>
        </is>
      </c>
      <c r="D1343" s="1">
        <v>116425</v>
      </c>
      <c r="E1343" s="0" t="inlineStr">
        <is>
          <t>IOWA COREY M BLACK:116425D - XL</t>
        </is>
      </c>
      <c r="G1343" s="0" t="inlineStr">
        <is>
          <t>MENS</t>
        </is>
      </c>
      <c r="H1343" s="0" t="inlineStr">
        <is>
          <t>XL</t>
        </is>
      </c>
      <c r="I1343" s="0">
        <v>49.99</v>
      </c>
      <c r="J1343" s="0">
        <v>1</v>
      </c>
    </row>
    <row r="1344" spans="1:10" customHeight="0">
      <c r="A1344" s="0">
        <f>HYPERLINK("https://dl.dropboxusercontent.com/scl/fi/yn0xiku53qd6pu225n0kj/116425-af.jpg?rlkey=97zz9rsjaxamlxltblkwh72kt&amp;dl=0","Click to download Image")</f>
      </c>
      <c r="B1344" s="0">
        <f>HYPERLINK("https://dl.dropboxusercontent.com/scl/fi/m09aywzragy2b343fkih2/mens-pullover-size-chartscorey.jpg?rlkey=ft7llgsqxuvu83uvaupq5qswx&amp;dl=0","Click to download SizeChart")</f>
      </c>
      <c r="C1344" s="0" t="inlineStr">
        <is>
          <t>Corey Men's 1/4 Zip Scuba Pullover</t>
        </is>
      </c>
      <c r="D1344" s="1">
        <v>116425</v>
      </c>
      <c r="E1344" s="0" t="inlineStr">
        <is>
          <t>IOWA COREY M BLACK:116425E - 2XL</t>
        </is>
      </c>
      <c r="G1344" s="0" t="inlineStr">
        <is>
          <t>MENS</t>
        </is>
      </c>
      <c r="H1344" s="0" t="inlineStr">
        <is>
          <t>2XL</t>
        </is>
      </c>
      <c r="I1344" s="0">
        <v>51.99</v>
      </c>
      <c r="J1344" s="0">
        <v>0</v>
      </c>
    </row>
    <row r="1345" spans="1:10" customHeight="0">
      <c r="A1345" s="0">
        <f>HYPERLINK("https://dl.dropboxusercontent.com/scl/fi/yn0xiku53qd6pu225n0kj/116425-af.jpg?rlkey=97zz9rsjaxamlxltblkwh72kt&amp;dl=0","Click to download Image")</f>
      </c>
      <c r="B1345" s="0">
        <f>HYPERLINK("https://dl.dropboxusercontent.com/scl/fi/m09aywzragy2b343fkih2/mens-pullover-size-chartscorey.jpg?rlkey=ft7llgsqxuvu83uvaupq5qswx&amp;dl=0","Click to download SizeChart")</f>
      </c>
      <c r="C1345" s="0" t="inlineStr">
        <is>
          <t>Corey Men's 1/4 Zip Scuba Pullover</t>
        </is>
      </c>
      <c r="D1345" s="1">
        <v>116425</v>
      </c>
      <c r="E1345" s="0" t="inlineStr">
        <is>
          <t>IOWA COREY M BLACK:116425F - 3XL</t>
        </is>
      </c>
      <c r="G1345" s="0" t="inlineStr">
        <is>
          <t>MENS</t>
        </is>
      </c>
      <c r="H1345" s="0" t="inlineStr">
        <is>
          <t>3XL</t>
        </is>
      </c>
      <c r="I1345" s="0">
        <v>51.99</v>
      </c>
      <c r="J1345" s="0">
        <v>4</v>
      </c>
    </row>
    <row r="1346" spans="1:10" customHeight="0">
      <c r="A1346" s="0">
        <f>HYPERLINK("https://dl.dropboxusercontent.com/scl/fi/yn0xiku53qd6pu225n0kj/116425-af.jpg?rlkey=97zz9rsjaxamlxltblkwh72kt&amp;dl=0","Click to download Image")</f>
      </c>
      <c r="B1346" s="0">
        <f>HYPERLINK("https://dl.dropboxusercontent.com/scl/fi/m09aywzragy2b343fkih2/mens-pullover-size-chartscorey.jpg?rlkey=ft7llgsqxuvu83uvaupq5qswx&amp;dl=0","Click to download SizeChart")</f>
      </c>
      <c r="C1346" s="0" t="inlineStr">
        <is>
          <t>Corey Men's 1/4 Zip Scuba Pullover</t>
        </is>
      </c>
      <c r="D1346" s="1">
        <v>116425</v>
      </c>
      <c r="E1346" s="0" t="inlineStr">
        <is>
          <t>IOWA COREY M BLACK 12 PACK (116425)</t>
        </is>
      </c>
      <c r="G1346" s="0" t="inlineStr">
        <is>
          <t>MENS</t>
        </is>
      </c>
      <c r="H1346" s="0" t="inlineStr">
        <is>
          <t>12 PACK</t>
        </is>
      </c>
      <c r="I1346" s="0">
        <v>486</v>
      </c>
      <c r="J1346" s="0">
        <v>0</v>
      </c>
    </row>
    <row r="1347" spans="1:10" customHeight="0">
      <c r="A1347" s="0">
        <f>HYPERLINK("https://dl.dropboxusercontent.com/scl/fi/qofdzs5b2mz83ek0vorrl/wilder-143073-f.jpg?rlkey=6pf0rjozjoxmpopauxu7ey0ck&amp;dl=0","Click to download Image")</f>
      </c>
      <c r="B1347" s="0">
        <f>HYPERLINK("https://dl.dropboxusercontent.com/scl/fi/g4y5n01kwvr7p2xwzmygk/womens-t-shirt-size-chartswilder.jpg?rlkey=te1dp9e55yf3n18v5o93oao3w&amp;dl=0","Click to download SizeChart")</f>
      </c>
      <c r="C1347" s="0" t="inlineStr">
        <is>
          <t>Black Out Wilder Women's Long Sleeve</t>
        </is>
      </c>
      <c r="D1347" s="1">
        <v>143073</v>
      </c>
      <c r="E1347" s="0" t="inlineStr">
        <is>
          <t>IOWA WILDER W BK:143073A-S</t>
        </is>
      </c>
      <c r="F1347" s="2">
        <v>800143073042</v>
      </c>
      <c r="G1347" s="0" t="inlineStr">
        <is>
          <t>WOMENS</t>
        </is>
      </c>
      <c r="H1347" s="0" t="inlineStr">
        <is>
          <t>S</t>
        </is>
      </c>
      <c r="I1347" s="0">
        <v>29.99</v>
      </c>
      <c r="J1347" s="0">
        <v>4</v>
      </c>
    </row>
    <row r="1348" spans="1:10" customHeight="0">
      <c r="A1348" s="0">
        <f>HYPERLINK("https://dl.dropboxusercontent.com/scl/fi/qofdzs5b2mz83ek0vorrl/wilder-143073-f.jpg?rlkey=6pf0rjozjoxmpopauxu7ey0ck&amp;dl=0","Click to download Image")</f>
      </c>
      <c r="B1348" s="0">
        <f>HYPERLINK("https://dl.dropboxusercontent.com/scl/fi/g4y5n01kwvr7p2xwzmygk/womens-t-shirt-size-chartswilder.jpg?rlkey=te1dp9e55yf3n18v5o93oao3w&amp;dl=0","Click to download SizeChart")</f>
      </c>
      <c r="C1348" s="0" t="inlineStr">
        <is>
          <t>Black Out Wilder Women's Long Sleeve</t>
        </is>
      </c>
      <c r="D1348" s="1">
        <v>143073</v>
      </c>
      <c r="E1348" s="0" t="inlineStr">
        <is>
          <t>IOWA WILDER W BK:143073B-M</t>
        </is>
      </c>
      <c r="F1348" s="2">
        <v>800143073059</v>
      </c>
      <c r="G1348" s="0" t="inlineStr">
        <is>
          <t>WOMENS</t>
        </is>
      </c>
      <c r="H1348" s="0" t="inlineStr">
        <is>
          <t>M</t>
        </is>
      </c>
      <c r="I1348" s="0">
        <v>29.99</v>
      </c>
      <c r="J1348" s="0">
        <v>4</v>
      </c>
    </row>
    <row r="1349" spans="1:10" customHeight="0">
      <c r="A1349" s="0">
        <f>HYPERLINK("https://dl.dropboxusercontent.com/scl/fi/qofdzs5b2mz83ek0vorrl/wilder-143073-f.jpg?rlkey=6pf0rjozjoxmpopauxu7ey0ck&amp;dl=0","Click to download Image")</f>
      </c>
      <c r="B1349" s="0">
        <f>HYPERLINK("https://dl.dropboxusercontent.com/scl/fi/g4y5n01kwvr7p2xwzmygk/womens-t-shirt-size-chartswilder.jpg?rlkey=te1dp9e55yf3n18v5o93oao3w&amp;dl=0","Click to download SizeChart")</f>
      </c>
      <c r="C1349" s="0" t="inlineStr">
        <is>
          <t>Black Out Wilder Women's Long Sleeve</t>
        </is>
      </c>
      <c r="D1349" s="1">
        <v>143073</v>
      </c>
      <c r="E1349" s="0" t="inlineStr">
        <is>
          <t>IOWA WILDER W BK:143073C-L</t>
        </is>
      </c>
      <c r="F1349" s="2">
        <v>800143073066</v>
      </c>
      <c r="G1349" s="0" t="inlineStr">
        <is>
          <t>WOMENS</t>
        </is>
      </c>
      <c r="H1349" s="0" t="inlineStr">
        <is>
          <t>L</t>
        </is>
      </c>
      <c r="I1349" s="0">
        <v>29.99</v>
      </c>
      <c r="J1349" s="0">
        <v>3</v>
      </c>
    </row>
    <row r="1350" spans="1:10" customHeight="0">
      <c r="A1350" s="0">
        <f>HYPERLINK("https://dl.dropboxusercontent.com/scl/fi/qofdzs5b2mz83ek0vorrl/wilder-143073-f.jpg?rlkey=6pf0rjozjoxmpopauxu7ey0ck&amp;dl=0","Click to download Image")</f>
      </c>
      <c r="B1350" s="0">
        <f>HYPERLINK("https://dl.dropboxusercontent.com/scl/fi/g4y5n01kwvr7p2xwzmygk/womens-t-shirt-size-chartswilder.jpg?rlkey=te1dp9e55yf3n18v5o93oao3w&amp;dl=0","Click to download SizeChart")</f>
      </c>
      <c r="C1350" s="0" t="inlineStr">
        <is>
          <t>Black Out Wilder Women's Long Sleeve</t>
        </is>
      </c>
      <c r="D1350" s="1">
        <v>143073</v>
      </c>
      <c r="E1350" s="0" t="inlineStr">
        <is>
          <t>IOWA WILDER W BK:143073D-XL</t>
        </is>
      </c>
      <c r="F1350" s="2">
        <v>800143073073</v>
      </c>
      <c r="G1350" s="0" t="inlineStr">
        <is>
          <t>WOMENS</t>
        </is>
      </c>
      <c r="H1350" s="0" t="inlineStr">
        <is>
          <t>XL</t>
        </is>
      </c>
      <c r="I1350" s="0">
        <v>29.99</v>
      </c>
      <c r="J1350" s="0">
        <v>0</v>
      </c>
    </row>
    <row r="1351" spans="1:10" customHeight="0">
      <c r="A1351" s="0">
        <f>HYPERLINK("https://dl.dropboxusercontent.com/scl/fi/qofdzs5b2mz83ek0vorrl/wilder-143073-f.jpg?rlkey=6pf0rjozjoxmpopauxu7ey0ck&amp;dl=0","Click to download Image")</f>
      </c>
      <c r="B1351" s="0">
        <f>HYPERLINK("https://dl.dropboxusercontent.com/scl/fi/g4y5n01kwvr7p2xwzmygk/womens-t-shirt-size-chartswilder.jpg?rlkey=te1dp9e55yf3n18v5o93oao3w&amp;dl=0","Click to download SizeChart")</f>
      </c>
      <c r="C1351" s="0" t="inlineStr">
        <is>
          <t>Black Out Wilder Women's Long Sleeve</t>
        </is>
      </c>
      <c r="D1351" s="1">
        <v>143073</v>
      </c>
      <c r="E1351" s="0" t="inlineStr">
        <is>
          <t>IOWA WILDER W BK:143073E-2XL</t>
        </is>
      </c>
      <c r="F1351" s="2">
        <v>800143073080</v>
      </c>
      <c r="G1351" s="0" t="inlineStr">
        <is>
          <t>WOMENS</t>
        </is>
      </c>
      <c r="H1351" s="0" t="inlineStr">
        <is>
          <t>2XL</t>
        </is>
      </c>
      <c r="I1351" s="0">
        <v>31.99</v>
      </c>
      <c r="J1351" s="0">
        <v>0</v>
      </c>
    </row>
    <row r="1352" spans="1:10" customHeight="0">
      <c r="A1352" s="0">
        <f>HYPERLINK("https://dl.dropboxusercontent.com/scl/fi/qofdzs5b2mz83ek0vorrl/wilder-143073-f.jpg?rlkey=6pf0rjozjoxmpopauxu7ey0ck&amp;dl=0","Click to download Image")</f>
      </c>
      <c r="B1352" s="0">
        <f>HYPERLINK("https://dl.dropboxusercontent.com/scl/fi/g4y5n01kwvr7p2xwzmygk/womens-t-shirt-size-chartswilder.jpg?rlkey=te1dp9e55yf3n18v5o93oao3w&amp;dl=0","Click to download SizeChart")</f>
      </c>
      <c r="C1352" s="0" t="inlineStr">
        <is>
          <t>Black Out Wilder Women's Long Sleeve</t>
        </is>
      </c>
      <c r="D1352" s="1">
        <v>143073</v>
      </c>
      <c r="E1352" s="0" t="inlineStr">
        <is>
          <t>IOWA WILDER W BK:143073F-3XL</t>
        </is>
      </c>
      <c r="F1352" s="2">
        <v>800143073097</v>
      </c>
      <c r="G1352" s="0" t="inlineStr">
        <is>
          <t>WOMENS</t>
        </is>
      </c>
      <c r="H1352" s="0" t="inlineStr">
        <is>
          <t>3XL</t>
        </is>
      </c>
      <c r="I1352" s="0">
        <v>31.99</v>
      </c>
      <c r="J1352" s="0">
        <v>0</v>
      </c>
    </row>
    <row r="1353" spans="1:10" customHeight="0">
      <c r="A1353" s="0">
        <f>HYPERLINK("https://dl.dropboxusercontent.com/scl/fi/2h4ju2c5p1wxjsdyun7to/reversible-vest-133257-af.jpg?rlkey=iv0ohs3wdhqmtj4rt83lfd0mu&amp;dl=0","Click to download Image")</f>
      </c>
      <c r="B1353" s="0">
        <f>HYPERLINK("https://dl.dropboxusercontent.com/scl/fi/6ssdywp835exp4vyy2x0o/mens-jackets-size-chartsreversible.jpg?rlkey=2z80my7w47xwwcfaqfi97urbu&amp;dl=0","Click to download SizeChart")</f>
      </c>
      <c r="C1353" s="0" t="inlineStr">
        <is>
          <t>Ridley Reversible Men's Vest</t>
        </is>
      </c>
      <c r="D1353" s="1">
        <v>133257</v>
      </c>
      <c r="E1353" s="0" t="inlineStr">
        <is>
          <t>IOWA RVEST M GY:133257A-S</t>
        </is>
      </c>
      <c r="F1353" s="2">
        <v>800133257049</v>
      </c>
      <c r="G1353" s="0" t="inlineStr">
        <is>
          <t>MENS</t>
        </is>
      </c>
      <c r="H1353" s="0" t="inlineStr">
        <is>
          <t>S</t>
        </is>
      </c>
      <c r="I1353" s="0">
        <v>44.99</v>
      </c>
      <c r="J1353" s="0">
        <v>5</v>
      </c>
    </row>
    <row r="1354" spans="1:10" customHeight="0">
      <c r="A1354" s="0">
        <f>HYPERLINK("https://dl.dropboxusercontent.com/scl/fi/2h4ju2c5p1wxjsdyun7to/reversible-vest-133257-af.jpg?rlkey=iv0ohs3wdhqmtj4rt83lfd0mu&amp;dl=0","Click to download Image")</f>
      </c>
      <c r="B1354" s="0">
        <f>HYPERLINK("https://dl.dropboxusercontent.com/scl/fi/6ssdywp835exp4vyy2x0o/mens-jackets-size-chartsreversible.jpg?rlkey=2z80my7w47xwwcfaqfi97urbu&amp;dl=0","Click to download SizeChart")</f>
      </c>
      <c r="C1354" s="0" t="inlineStr">
        <is>
          <t>Ridley Reversible Men's Vest</t>
        </is>
      </c>
      <c r="D1354" s="1">
        <v>133257</v>
      </c>
      <c r="E1354" s="0" t="inlineStr">
        <is>
          <t>IOWA RVEST M GY:133257B-M</t>
        </is>
      </c>
      <c r="F1354" s="2">
        <v>800133257056</v>
      </c>
      <c r="G1354" s="0" t="inlineStr">
        <is>
          <t>MENS</t>
        </is>
      </c>
      <c r="H1354" s="0" t="inlineStr">
        <is>
          <t>M</t>
        </is>
      </c>
      <c r="I1354" s="0">
        <v>44.99</v>
      </c>
      <c r="J1354" s="0">
        <v>11</v>
      </c>
    </row>
    <row r="1355" spans="1:10" customHeight="0">
      <c r="A1355" s="0">
        <f>HYPERLINK("https://dl.dropboxusercontent.com/scl/fi/2h4ju2c5p1wxjsdyun7to/reversible-vest-133257-af.jpg?rlkey=iv0ohs3wdhqmtj4rt83lfd0mu&amp;dl=0","Click to download Image")</f>
      </c>
      <c r="B1355" s="0">
        <f>HYPERLINK("https://dl.dropboxusercontent.com/scl/fi/6ssdywp835exp4vyy2x0o/mens-jackets-size-chartsreversible.jpg?rlkey=2z80my7w47xwwcfaqfi97urbu&amp;dl=0","Click to download SizeChart")</f>
      </c>
      <c r="C1355" s="0" t="inlineStr">
        <is>
          <t>Ridley Reversible Men's Vest</t>
        </is>
      </c>
      <c r="D1355" s="1">
        <v>133257</v>
      </c>
      <c r="E1355" s="0" t="inlineStr">
        <is>
          <t>IOWA RVEST M GY:133257C-L</t>
        </is>
      </c>
      <c r="F1355" s="2">
        <v>800133257063</v>
      </c>
      <c r="G1355" s="0" t="inlineStr">
        <is>
          <t>MENS</t>
        </is>
      </c>
      <c r="H1355" s="0" t="inlineStr">
        <is>
          <t>L</t>
        </is>
      </c>
      <c r="I1355" s="0">
        <v>44.99</v>
      </c>
      <c r="J1355" s="0">
        <v>16</v>
      </c>
    </row>
    <row r="1356" spans="1:10" customHeight="0">
      <c r="A1356" s="0">
        <f>HYPERLINK("https://dl.dropboxusercontent.com/scl/fi/2h4ju2c5p1wxjsdyun7to/reversible-vest-133257-af.jpg?rlkey=iv0ohs3wdhqmtj4rt83lfd0mu&amp;dl=0","Click to download Image")</f>
      </c>
      <c r="B1356" s="0">
        <f>HYPERLINK("https://dl.dropboxusercontent.com/scl/fi/6ssdywp835exp4vyy2x0o/mens-jackets-size-chartsreversible.jpg?rlkey=2z80my7w47xwwcfaqfi97urbu&amp;dl=0","Click to download SizeChart")</f>
      </c>
      <c r="C1356" s="0" t="inlineStr">
        <is>
          <t>Ridley Reversible Men's Vest</t>
        </is>
      </c>
      <c r="D1356" s="1">
        <v>133257</v>
      </c>
      <c r="E1356" s="0" t="inlineStr">
        <is>
          <t>IOWA RVEST M GY:133257D-XL</t>
        </is>
      </c>
      <c r="F1356" s="2">
        <v>800133257070</v>
      </c>
      <c r="G1356" s="0" t="inlineStr">
        <is>
          <t>MENS</t>
        </is>
      </c>
      <c r="H1356" s="0" t="inlineStr">
        <is>
          <t>XL</t>
        </is>
      </c>
      <c r="I1356" s="0">
        <v>44.99</v>
      </c>
      <c r="J1356" s="0">
        <v>7</v>
      </c>
    </row>
    <row r="1357" spans="1:10" customHeight="0">
      <c r="A1357" s="0">
        <f>HYPERLINK("https://dl.dropboxusercontent.com/scl/fi/2h4ju2c5p1wxjsdyun7to/reversible-vest-133257-af.jpg?rlkey=iv0ohs3wdhqmtj4rt83lfd0mu&amp;dl=0","Click to download Image")</f>
      </c>
      <c r="B1357" s="0">
        <f>HYPERLINK("https://dl.dropboxusercontent.com/scl/fi/6ssdywp835exp4vyy2x0o/mens-jackets-size-chartsreversible.jpg?rlkey=2z80my7w47xwwcfaqfi97urbu&amp;dl=0","Click to download SizeChart")</f>
      </c>
      <c r="C1357" s="0" t="inlineStr">
        <is>
          <t>Ridley Reversible Men's Vest</t>
        </is>
      </c>
      <c r="D1357" s="1">
        <v>133257</v>
      </c>
      <c r="E1357" s="0" t="inlineStr">
        <is>
          <t>IOWA RVEST M GY:133257E-2XL</t>
        </is>
      </c>
      <c r="F1357" s="2">
        <v>800133257087</v>
      </c>
      <c r="G1357" s="0" t="inlineStr">
        <is>
          <t>MENS</t>
        </is>
      </c>
      <c r="H1357" s="0" t="inlineStr">
        <is>
          <t>2XL</t>
        </is>
      </c>
      <c r="I1357" s="0">
        <v>48.99</v>
      </c>
      <c r="J1357" s="0">
        <v>14</v>
      </c>
    </row>
    <row r="1358" spans="1:10" customHeight="0">
      <c r="A1358" s="0">
        <f>HYPERLINK("https://dl.dropboxusercontent.com/scl/fi/2h4ju2c5p1wxjsdyun7to/reversible-vest-133257-af.jpg?rlkey=iv0ohs3wdhqmtj4rt83lfd0mu&amp;dl=0","Click to download Image")</f>
      </c>
      <c r="B1358" s="0">
        <f>HYPERLINK("https://dl.dropboxusercontent.com/scl/fi/6ssdywp835exp4vyy2x0o/mens-jackets-size-chartsreversible.jpg?rlkey=2z80my7w47xwwcfaqfi97urbu&amp;dl=0","Click to download SizeChart")</f>
      </c>
      <c r="C1358" s="0" t="inlineStr">
        <is>
          <t>Ridley Reversible Men's Vest</t>
        </is>
      </c>
      <c r="D1358" s="1">
        <v>133257</v>
      </c>
      <c r="E1358" s="0" t="inlineStr">
        <is>
          <t>IOWA RVEST M GY:133257F-3XL</t>
        </is>
      </c>
      <c r="F1358" s="2">
        <v>800133257094</v>
      </c>
      <c r="G1358" s="0" t="inlineStr">
        <is>
          <t>MENS</t>
        </is>
      </c>
      <c r="H1358" s="0" t="inlineStr">
        <is>
          <t>3XL</t>
        </is>
      </c>
      <c r="I1358" s="0">
        <v>48.99</v>
      </c>
      <c r="J1358" s="0">
        <v>3</v>
      </c>
    </row>
    <row r="1359" spans="1:10" customHeight="0">
      <c r="A1359" s="0">
        <f>HYPERLINK("https://dl.dropboxusercontent.com/scl/fi/d5nnjoxcj32dslma0kwja/matilda-133232-f.jpg?rlkey=vugyhvncjm94t93i4tzjmbhpd&amp;dl=0","Click to download Image")</f>
      </c>
      <c r="C1359" s="0" t="inlineStr">
        <is>
          <t>Matilda Youth Cap Sleeve T-Shirt</t>
        </is>
      </c>
      <c r="D1359" s="1">
        <v>133232</v>
      </c>
      <c r="E1359" s="0" t="inlineStr">
        <is>
          <t>IOWA MATIL2 Y BK:133232B-YS</t>
        </is>
      </c>
      <c r="F1359" s="2">
        <v>800133232015</v>
      </c>
      <c r="G1359" s="0" t="inlineStr">
        <is>
          <t>YOUTH</t>
        </is>
      </c>
      <c r="H1359" s="0" t="inlineStr">
        <is>
          <t>YS</t>
        </is>
      </c>
      <c r="I1359" s="0">
        <v>29.99</v>
      </c>
      <c r="J1359" s="0">
        <v>4</v>
      </c>
    </row>
    <row r="1360" spans="1:10" customHeight="0">
      <c r="A1360" s="0">
        <f>HYPERLINK("https://dl.dropboxusercontent.com/scl/fi/d5nnjoxcj32dslma0kwja/matilda-133232-f.jpg?rlkey=vugyhvncjm94t93i4tzjmbhpd&amp;dl=0","Click to download Image")</f>
      </c>
      <c r="C1360" s="0" t="inlineStr">
        <is>
          <t>Matilda Youth Cap Sleeve T-Shirt</t>
        </is>
      </c>
      <c r="D1360" s="1">
        <v>133232</v>
      </c>
      <c r="E1360" s="0" t="inlineStr">
        <is>
          <t>IOWA MATIL2 Y BK:133232C-YM</t>
        </is>
      </c>
      <c r="F1360" s="2">
        <v>800133232022</v>
      </c>
      <c r="G1360" s="0" t="inlineStr">
        <is>
          <t>YOUTH</t>
        </is>
      </c>
      <c r="H1360" s="0" t="inlineStr">
        <is>
          <t>YM</t>
        </is>
      </c>
      <c r="I1360" s="0">
        <v>29.99</v>
      </c>
      <c r="J1360" s="0">
        <v>4</v>
      </c>
    </row>
    <row r="1361" spans="1:10" customHeight="0">
      <c r="A1361" s="0">
        <f>HYPERLINK("https://dl.dropboxusercontent.com/scl/fi/d5nnjoxcj32dslma0kwja/matilda-133232-f.jpg?rlkey=vugyhvncjm94t93i4tzjmbhpd&amp;dl=0","Click to download Image")</f>
      </c>
      <c r="C1361" s="0" t="inlineStr">
        <is>
          <t>Matilda Youth Cap Sleeve T-Shirt</t>
        </is>
      </c>
      <c r="D1361" s="1">
        <v>133232</v>
      </c>
      <c r="E1361" s="0" t="inlineStr">
        <is>
          <t>IOWA MATIL2 Y BK:133232D-YL</t>
        </is>
      </c>
      <c r="F1361" s="2">
        <v>800133232039</v>
      </c>
      <c r="G1361" s="0" t="inlineStr">
        <is>
          <t>YOUTH</t>
        </is>
      </c>
      <c r="H1361" s="0" t="inlineStr">
        <is>
          <t>YL</t>
        </is>
      </c>
      <c r="I1361" s="0">
        <v>29.99</v>
      </c>
      <c r="J1361" s="0">
        <v>4</v>
      </c>
    </row>
    <row r="1362" spans="1:10" customHeight="0">
      <c r="A1362" s="0">
        <f>HYPERLINK("https://dl.dropboxusercontent.com/scl/fi/d5nnjoxcj32dslma0kwja/matilda-133232-f.jpg?rlkey=vugyhvncjm94t93i4tzjmbhpd&amp;dl=0","Click to download Image")</f>
      </c>
      <c r="C1362" s="0" t="inlineStr">
        <is>
          <t>Matilda Youth Cap Sleeve T-Shirt</t>
        </is>
      </c>
      <c r="D1362" s="1">
        <v>133232</v>
      </c>
      <c r="E1362" s="0" t="inlineStr">
        <is>
          <t>IOWA MATIL2 Y BK:133232E-YXL</t>
        </is>
      </c>
      <c r="F1362" s="2">
        <v>800133232046</v>
      </c>
      <c r="G1362" s="0" t="inlineStr">
        <is>
          <t>YOUTH</t>
        </is>
      </c>
      <c r="H1362" s="0" t="inlineStr">
        <is>
          <t>YXL</t>
        </is>
      </c>
      <c r="I1362" s="0">
        <v>29.99</v>
      </c>
      <c r="J1362" s="0">
        <v>5</v>
      </c>
    </row>
    <row r="1363" spans="1:10" customHeight="0">
      <c r="A1363" s="0">
        <f>HYPERLINK("https://dl.dropboxusercontent.com/scl/fi/d5nnjoxcj32dslma0kwja/matilda-133232-f.jpg?rlkey=vugyhvncjm94t93i4tzjmbhpd&amp;dl=0","Click to download Image")</f>
      </c>
      <c r="C1363" s="0" t="inlineStr">
        <is>
          <t>Matilda Youth Cap Sleeve T-Shirt</t>
        </is>
      </c>
      <c r="D1363" s="1">
        <v>133232</v>
      </c>
      <c r="E1363" s="0" t="inlineStr">
        <is>
          <t>IOWA MATIL2 Y BK 12PK:133232Z-12PK</t>
        </is>
      </c>
      <c r="F1363" s="2">
        <v>800133232992</v>
      </c>
      <c r="G1363" s="0" t="inlineStr">
        <is>
          <t>YOUTH</t>
        </is>
      </c>
      <c r="H1363" s="0" t="inlineStr">
        <is>
          <t>12 PACK</t>
        </is>
      </c>
      <c r="I1363" s="0">
        <v>287.9</v>
      </c>
      <c r="J1363" s="0">
        <v>0</v>
      </c>
    </row>
    <row r="1364" spans="1:10" customHeight="0">
      <c r="A1364" s="0">
        <f>HYPERLINK("https://dl.dropboxusercontent.com/scl/fi/uz38cmrzxv2w3u57n64kl/cason.jpg?rlkey=uubcl4g0gyjxqvi0bzaoow9m7&amp;dl=0","Click to download Image")</f>
      </c>
      <c r="B1364" s="0">
        <f>HYPERLINK("https://dl.dropboxusercontent.com/scl/fi/i29r2wkvxqbjayzkems8r/womens-t-shirt-size-chartscason-sara.jpg?rlkey=sk6gvi7r2kx3bcnp8opyqyaig&amp;dl=0","Click to download SizeChart")</f>
      </c>
      <c r="C1364" s="0" t="inlineStr">
        <is>
          <t>Cason Women's Tri-Blend T-Shirt</t>
        </is>
      </c>
      <c r="D1364" s="1">
        <v>144354</v>
      </c>
      <c r="E1364" s="0" t="inlineStr">
        <is>
          <t>IOWA CASON W BK:144354A-S</t>
        </is>
      </c>
      <c r="F1364" s="2">
        <v>800144354041</v>
      </c>
      <c r="G1364" s="0" t="inlineStr">
        <is>
          <t>WOMENS</t>
        </is>
      </c>
      <c r="H1364" s="0" t="inlineStr">
        <is>
          <t>S</t>
        </is>
      </c>
      <c r="I1364" s="0">
        <v>29.99</v>
      </c>
      <c r="J1364" s="0">
        <v>5</v>
      </c>
    </row>
    <row r="1365" spans="1:10" customHeight="0">
      <c r="A1365" s="0">
        <f>HYPERLINK("https://dl.dropboxusercontent.com/scl/fi/uz38cmrzxv2w3u57n64kl/cason.jpg?rlkey=uubcl4g0gyjxqvi0bzaoow9m7&amp;dl=0","Click to download Image")</f>
      </c>
      <c r="B1365" s="0">
        <f>HYPERLINK("https://dl.dropboxusercontent.com/scl/fi/i29r2wkvxqbjayzkems8r/womens-t-shirt-size-chartscason-sara.jpg?rlkey=sk6gvi7r2kx3bcnp8opyqyaig&amp;dl=0","Click to download SizeChart")</f>
      </c>
      <c r="C1365" s="0" t="inlineStr">
        <is>
          <t>Cason Women's Tri-Blend T-Shirt</t>
        </is>
      </c>
      <c r="D1365" s="1">
        <v>144354</v>
      </c>
      <c r="E1365" s="0" t="inlineStr">
        <is>
          <t>IOWA CASON W BK:144354B-M</t>
        </is>
      </c>
      <c r="F1365" s="2">
        <v>800144354058</v>
      </c>
      <c r="G1365" s="0" t="inlineStr">
        <is>
          <t>WOMENS</t>
        </is>
      </c>
      <c r="H1365" s="0" t="inlineStr">
        <is>
          <t>M</t>
        </is>
      </c>
      <c r="I1365" s="0">
        <v>29.99</v>
      </c>
      <c r="J1365" s="0">
        <v>9</v>
      </c>
    </row>
    <row r="1366" spans="1:10" customHeight="0">
      <c r="A1366" s="0">
        <f>HYPERLINK("https://dl.dropboxusercontent.com/scl/fi/uz38cmrzxv2w3u57n64kl/cason.jpg?rlkey=uubcl4g0gyjxqvi0bzaoow9m7&amp;dl=0","Click to download Image")</f>
      </c>
      <c r="B1366" s="0">
        <f>HYPERLINK("https://dl.dropboxusercontent.com/scl/fi/i29r2wkvxqbjayzkems8r/womens-t-shirt-size-chartscason-sara.jpg?rlkey=sk6gvi7r2kx3bcnp8opyqyaig&amp;dl=0","Click to download SizeChart")</f>
      </c>
      <c r="C1366" s="0" t="inlineStr">
        <is>
          <t>Cason Women's Tri-Blend T-Shirt</t>
        </is>
      </c>
      <c r="D1366" s="1">
        <v>144354</v>
      </c>
      <c r="E1366" s="0" t="inlineStr">
        <is>
          <t>IOWA CASON W BK:144354C-L</t>
        </is>
      </c>
      <c r="F1366" s="2">
        <v>800144354065</v>
      </c>
      <c r="G1366" s="0" t="inlineStr">
        <is>
          <t>WOMENS</t>
        </is>
      </c>
      <c r="H1366" s="0" t="inlineStr">
        <is>
          <t>L</t>
        </is>
      </c>
      <c r="I1366" s="0">
        <v>29.99</v>
      </c>
      <c r="J1366" s="0">
        <v>9</v>
      </c>
    </row>
    <row r="1367" spans="1:10" customHeight="0">
      <c r="A1367" s="0">
        <f>HYPERLINK("https://dl.dropboxusercontent.com/scl/fi/uz38cmrzxv2w3u57n64kl/cason.jpg?rlkey=uubcl4g0gyjxqvi0bzaoow9m7&amp;dl=0","Click to download Image")</f>
      </c>
      <c r="B1367" s="0">
        <f>HYPERLINK("https://dl.dropboxusercontent.com/scl/fi/i29r2wkvxqbjayzkems8r/womens-t-shirt-size-chartscason-sara.jpg?rlkey=sk6gvi7r2kx3bcnp8opyqyaig&amp;dl=0","Click to download SizeChart")</f>
      </c>
      <c r="C1367" s="0" t="inlineStr">
        <is>
          <t>Cason Women's Tri-Blend T-Shirt</t>
        </is>
      </c>
      <c r="D1367" s="1">
        <v>144354</v>
      </c>
      <c r="E1367" s="0" t="inlineStr">
        <is>
          <t>IOWA CASON W BK:144354D-XL</t>
        </is>
      </c>
      <c r="F1367" s="2">
        <v>800144354072</v>
      </c>
      <c r="G1367" s="0" t="inlineStr">
        <is>
          <t>WOMENS</t>
        </is>
      </c>
      <c r="H1367" s="0" t="inlineStr">
        <is>
          <t>XL</t>
        </is>
      </c>
      <c r="I1367" s="0">
        <v>29.99</v>
      </c>
      <c r="J1367" s="0">
        <v>3</v>
      </c>
    </row>
    <row r="1368" spans="1:10" customHeight="0">
      <c r="A1368" s="0">
        <f>HYPERLINK("https://dl.dropboxusercontent.com/scl/fi/uz38cmrzxv2w3u57n64kl/cason.jpg?rlkey=uubcl4g0gyjxqvi0bzaoow9m7&amp;dl=0","Click to download Image")</f>
      </c>
      <c r="B1368" s="0">
        <f>HYPERLINK("https://dl.dropboxusercontent.com/scl/fi/i29r2wkvxqbjayzkems8r/womens-t-shirt-size-chartscason-sara.jpg?rlkey=sk6gvi7r2kx3bcnp8opyqyaig&amp;dl=0","Click to download SizeChart")</f>
      </c>
      <c r="C1368" s="0" t="inlineStr">
        <is>
          <t>Cason Women's Tri-Blend T-Shirt</t>
        </is>
      </c>
      <c r="D1368" s="1">
        <v>144354</v>
      </c>
      <c r="E1368" s="0" t="inlineStr">
        <is>
          <t>IOWA CASON W BK:144354E-2XL</t>
        </is>
      </c>
      <c r="F1368" s="2">
        <v>800144354089</v>
      </c>
      <c r="G1368" s="0" t="inlineStr">
        <is>
          <t>WOMENS</t>
        </is>
      </c>
      <c r="H1368" s="0" t="inlineStr">
        <is>
          <t>2XL</t>
        </is>
      </c>
      <c r="I1368" s="0">
        <v>29.99</v>
      </c>
      <c r="J1368" s="0">
        <v>0</v>
      </c>
    </row>
    <row r="1369" spans="1:10" customHeight="0">
      <c r="A1369" s="0">
        <f>HYPERLINK("https://dl.dropboxusercontent.com/scl/fi/uz38cmrzxv2w3u57n64kl/cason.jpg?rlkey=uubcl4g0gyjxqvi0bzaoow9m7&amp;dl=0","Click to download Image")</f>
      </c>
      <c r="B1369" s="0">
        <f>HYPERLINK("https://dl.dropboxusercontent.com/scl/fi/i29r2wkvxqbjayzkems8r/womens-t-shirt-size-chartscason-sara.jpg?rlkey=sk6gvi7r2kx3bcnp8opyqyaig&amp;dl=0","Click to download SizeChart")</f>
      </c>
      <c r="C1369" s="0" t="inlineStr">
        <is>
          <t>Cason Women's Tri-Blend T-Shirt</t>
        </is>
      </c>
      <c r="D1369" s="1">
        <v>144354</v>
      </c>
      <c r="E1369" s="0" t="inlineStr">
        <is>
          <t>IOWA CASON W BK:144354F-3XL</t>
        </is>
      </c>
      <c r="F1369" s="2">
        <v>800144354096</v>
      </c>
      <c r="G1369" s="0" t="inlineStr">
        <is>
          <t>WOMENS</t>
        </is>
      </c>
      <c r="H1369" s="0" t="inlineStr">
        <is>
          <t>3XL</t>
        </is>
      </c>
      <c r="I1369" s="0">
        <v>29.99</v>
      </c>
      <c r="J1369" s="0">
        <v>0</v>
      </c>
    </row>
    <row r="1370" spans="1:10" customHeight="0">
      <c r="A1370" s="0">
        <f>HYPERLINK("https://dl.dropboxusercontent.com/scl/fi/nemad8hlsymxg2dr0pjdx/forest-159909-f.jpg?rlkey=lkygk7bh4md8zj6zlxjm66mqz&amp;dl=0","Click to download Image")</f>
      </c>
      <c r="C1370" s="0" t="inlineStr">
        <is>
          <t>Forest Men's Uncuffed Beanie</t>
        </is>
      </c>
      <c r="D1370" s="1">
        <v>159909</v>
      </c>
      <c r="E1370" s="0" t="inlineStr">
        <is>
          <t>IOWA FOREST A BK:159909</t>
        </is>
      </c>
      <c r="F1370" s="2">
        <v>700159909017</v>
      </c>
      <c r="G1370" s="0" t="inlineStr">
        <is>
          <t>MENS</t>
        </is>
      </c>
      <c r="H1370" s="0" t="inlineStr">
        <is>
          <t>ADULT</t>
        </is>
      </c>
      <c r="I1370" s="0">
        <v>24.99</v>
      </c>
      <c r="J1370" s="0">
        <v>1</v>
      </c>
    </row>
    <row r="1371" spans="1:10" customHeight="0">
      <c r="A1371" s="0">
        <f>HYPERLINK("https://dl.dropboxusercontent.com/scl/fi/2sl0d84u2s18h5x92yv5i/odin-140154-af.jpg?rlkey=aeirllb4065gl4pqej430erah&amp;dl=0","Click to download Image")</f>
      </c>
      <c r="C1371" s="0" t="inlineStr">
        <is>
          <t>Odin Men's Polywarp Cap</t>
        </is>
      </c>
      <c r="D1371" s="1">
        <v>140154</v>
      </c>
      <c r="E1371" s="0" t="inlineStr">
        <is>
          <t>IOWA ODIN M LG:140154</t>
        </is>
      </c>
      <c r="F1371" s="2">
        <v>700140154006</v>
      </c>
      <c r="G1371" s="0" t="inlineStr">
        <is>
          <t>MENS</t>
        </is>
      </c>
      <c r="H1371" s="0" t="inlineStr">
        <is>
          <t>STANDARD MENS</t>
        </is>
      </c>
      <c r="I1371" s="0">
        <v>24.99</v>
      </c>
      <c r="J1371" s="0">
        <v>414</v>
      </c>
    </row>
    <row r="1372" spans="1:10" customHeight="0">
      <c r="A1372" s="0">
        <f>HYPERLINK("https://dl.dropboxusercontent.com/scl/fi/filp0hyxamtarh3xofsl4/odin-140133-af.jpg?rlkey=ia4q6nm3umq0kdrotjtkokidh&amp;dl=0","Click to download Image")</f>
      </c>
      <c r="C1372" s="0" t="inlineStr">
        <is>
          <t>Odin Men's Polywarp Cap</t>
        </is>
      </c>
      <c r="D1372" s="1">
        <v>140133</v>
      </c>
      <c r="E1372" s="0" t="inlineStr">
        <is>
          <t>IOWA ODIN M GY:140133</t>
        </is>
      </c>
      <c r="F1372" s="2">
        <v>700140133001</v>
      </c>
      <c r="G1372" s="0" t="inlineStr">
        <is>
          <t>MENS</t>
        </is>
      </c>
      <c r="H1372" s="0" t="inlineStr">
        <is>
          <t>STANDARD MENS</t>
        </is>
      </c>
      <c r="I1372" s="0">
        <v>24.99</v>
      </c>
      <c r="J1372" s="0">
        <v>344</v>
      </c>
    </row>
    <row r="1373" spans="1:10" customHeight="0">
      <c r="A1373" s="0">
        <f>HYPERLINK("https://dl.dropboxusercontent.com/scl/fi/z4qog7khg2381tboh1w42/odin-140129-af.jpg?rlkey=zftx2ybqtkdl27rhef5kgcx3w&amp;dl=0","Click to download Image")</f>
      </c>
      <c r="C1373" s="0" t="inlineStr">
        <is>
          <t>Odin Men's Polywarp Cap</t>
        </is>
      </c>
      <c r="D1373" s="1">
        <v>140129</v>
      </c>
      <c r="E1373" s="0" t="inlineStr">
        <is>
          <t>IOWA ODIN M GD:140129</t>
        </is>
      </c>
      <c r="F1373" s="2">
        <v>700140129004</v>
      </c>
      <c r="G1373" s="0" t="inlineStr">
        <is>
          <t>MENS</t>
        </is>
      </c>
      <c r="H1373" s="0" t="inlineStr">
        <is>
          <t>STANDARD MENS</t>
        </is>
      </c>
      <c r="I1373" s="0">
        <v>24.99</v>
      </c>
      <c r="J1373" s="0">
        <v>40</v>
      </c>
    </row>
    <row r="1374" spans="1:10" customHeight="0">
      <c r="A1374" s="0">
        <f>HYPERLINK("https://dl.dropboxusercontent.com/scl/fi/qnozdcut6vdu7zw3gz804/161082-nickle-t.jpg?rlkey=d5ah6ud6jv9daqabi7v7ouk9e&amp;dl=0","Click to download Image")</f>
      </c>
      <c r="C1374" s="0" t="inlineStr">
        <is>
          <t>Nickel Women's Cable Knit Beanie</t>
        </is>
      </c>
      <c r="D1374" s="1">
        <v>161082</v>
      </c>
      <c r="E1374" s="0" t="inlineStr">
        <is>
          <t>IOWA NICKEL A GY:161082</t>
        </is>
      </c>
      <c r="F1374" s="2">
        <v>700161082012</v>
      </c>
      <c r="G1374" s="0" t="inlineStr">
        <is>
          <t>WOMENS</t>
        </is>
      </c>
      <c r="H1374" s="0" t="inlineStr">
        <is>
          <t>ADULT</t>
        </is>
      </c>
      <c r="I1374" s="0">
        <v>24.99</v>
      </c>
      <c r="J1374" s="0">
        <v>31</v>
      </c>
    </row>
    <row r="1375" spans="1:10" customHeight="0">
      <c r="A1375" s="0">
        <f>HYPERLINK("https://dl.dropboxusercontent.com/scl/fi/ysza5eboyr7us8yhwhbqo/flint-139110-tn.jpg?rlkey=rpd0i8easq7rd8fewbz6xkqp8&amp;dl=0","Click to download Image")</f>
      </c>
      <c r="B1375" s="0">
        <f>HYPERLINK("https://dl.dropboxusercontent.com/scl/fi/axrig6cvsngpzxzu587s7/womens-pullover-size-chartsflint.jpg?rlkey=voz3wxxuga8v9nhx4zbbspoiu&amp;dl=0","Click to download SizeChart")</f>
      </c>
      <c r="C1375" s="0" t="inlineStr">
        <is>
          <t>Flint Women's 1/4 Zip</t>
        </is>
      </c>
      <c r="D1375" s="1">
        <v>139110</v>
      </c>
      <c r="E1375" s="0" t="inlineStr">
        <is>
          <t>IOWA FLINT W GD:139110A-S</t>
        </is>
      </c>
      <c r="F1375" s="2">
        <v>800139110041</v>
      </c>
      <c r="G1375" s="0" t="inlineStr">
        <is>
          <t>WOMENS</t>
        </is>
      </c>
      <c r="H1375" s="0" t="inlineStr">
        <is>
          <t>S</t>
        </is>
      </c>
      <c r="I1375" s="0">
        <v>44.99</v>
      </c>
      <c r="J1375" s="0">
        <v>0</v>
      </c>
    </row>
    <row r="1376" spans="1:10" customHeight="0">
      <c r="A1376" s="0">
        <f>HYPERLINK("https://dl.dropboxusercontent.com/scl/fi/ysza5eboyr7us8yhwhbqo/flint-139110-tn.jpg?rlkey=rpd0i8easq7rd8fewbz6xkqp8&amp;dl=0","Click to download Image")</f>
      </c>
      <c r="B1376" s="0">
        <f>HYPERLINK("https://dl.dropboxusercontent.com/scl/fi/axrig6cvsngpzxzu587s7/womens-pullover-size-chartsflint.jpg?rlkey=voz3wxxuga8v9nhx4zbbspoiu&amp;dl=0","Click to download SizeChart")</f>
      </c>
      <c r="C1376" s="0" t="inlineStr">
        <is>
          <t>Flint Women's 1/4 Zip</t>
        </is>
      </c>
      <c r="D1376" s="1">
        <v>139110</v>
      </c>
      <c r="E1376" s="0" t="inlineStr">
        <is>
          <t>IOWA FLINT W GD:139110B-M</t>
        </is>
      </c>
      <c r="F1376" s="2">
        <v>800139110058</v>
      </c>
      <c r="G1376" s="0" t="inlineStr">
        <is>
          <t>WOMENS</t>
        </is>
      </c>
      <c r="H1376" s="0" t="inlineStr">
        <is>
          <t>M</t>
        </is>
      </c>
      <c r="I1376" s="0">
        <v>44.99</v>
      </c>
      <c r="J1376" s="0">
        <v>0</v>
      </c>
    </row>
    <row r="1377" spans="1:10" customHeight="0">
      <c r="A1377" s="0">
        <f>HYPERLINK("https://dl.dropboxusercontent.com/scl/fi/ysza5eboyr7us8yhwhbqo/flint-139110-tn.jpg?rlkey=rpd0i8easq7rd8fewbz6xkqp8&amp;dl=0","Click to download Image")</f>
      </c>
      <c r="B1377" s="0">
        <f>HYPERLINK("https://dl.dropboxusercontent.com/scl/fi/axrig6cvsngpzxzu587s7/womens-pullover-size-chartsflint.jpg?rlkey=voz3wxxuga8v9nhx4zbbspoiu&amp;dl=0","Click to download SizeChart")</f>
      </c>
      <c r="C1377" s="0" t="inlineStr">
        <is>
          <t>Flint Women's 1/4 Zip</t>
        </is>
      </c>
      <c r="D1377" s="1">
        <v>139110</v>
      </c>
      <c r="E1377" s="0" t="inlineStr">
        <is>
          <t>IOWA FLINT W GD:139110C-L</t>
        </is>
      </c>
      <c r="F1377" s="2">
        <v>800139110065</v>
      </c>
      <c r="G1377" s="0" t="inlineStr">
        <is>
          <t>WOMENS</t>
        </is>
      </c>
      <c r="H1377" s="0" t="inlineStr">
        <is>
          <t>L</t>
        </is>
      </c>
      <c r="I1377" s="0">
        <v>44.99</v>
      </c>
      <c r="J1377" s="0">
        <v>1</v>
      </c>
    </row>
    <row r="1378" spans="1:10" customHeight="0">
      <c r="A1378" s="0">
        <f>HYPERLINK("https://dl.dropboxusercontent.com/scl/fi/ysza5eboyr7us8yhwhbqo/flint-139110-tn.jpg?rlkey=rpd0i8easq7rd8fewbz6xkqp8&amp;dl=0","Click to download Image")</f>
      </c>
      <c r="B1378" s="0">
        <f>HYPERLINK("https://dl.dropboxusercontent.com/scl/fi/axrig6cvsngpzxzu587s7/womens-pullover-size-chartsflint.jpg?rlkey=voz3wxxuga8v9nhx4zbbspoiu&amp;dl=0","Click to download SizeChart")</f>
      </c>
      <c r="C1378" s="0" t="inlineStr">
        <is>
          <t>Flint Women's 1/4 Zip</t>
        </is>
      </c>
      <c r="D1378" s="1">
        <v>139110</v>
      </c>
      <c r="E1378" s="0" t="inlineStr">
        <is>
          <t>IOWA FLINT W GD:139110D-XL</t>
        </is>
      </c>
      <c r="F1378" s="2">
        <v>800139110072</v>
      </c>
      <c r="G1378" s="0" t="inlineStr">
        <is>
          <t>WOMENS</t>
        </is>
      </c>
      <c r="H1378" s="0" t="inlineStr">
        <is>
          <t>XL</t>
        </is>
      </c>
      <c r="I1378" s="0">
        <v>44.99</v>
      </c>
      <c r="J1378" s="0">
        <v>0</v>
      </c>
    </row>
    <row r="1379" spans="1:10" customHeight="0">
      <c r="A1379" s="0">
        <f>HYPERLINK("https://dl.dropboxusercontent.com/scl/fi/ysza5eboyr7us8yhwhbqo/flint-139110-tn.jpg?rlkey=rpd0i8easq7rd8fewbz6xkqp8&amp;dl=0","Click to download Image")</f>
      </c>
      <c r="B1379" s="0">
        <f>HYPERLINK("https://dl.dropboxusercontent.com/scl/fi/axrig6cvsngpzxzu587s7/womens-pullover-size-chartsflint.jpg?rlkey=voz3wxxuga8v9nhx4zbbspoiu&amp;dl=0","Click to download SizeChart")</f>
      </c>
      <c r="C1379" s="0" t="inlineStr">
        <is>
          <t>Flint Women's 1/4 Zip</t>
        </is>
      </c>
      <c r="D1379" s="1">
        <v>139110</v>
      </c>
      <c r="E1379" s="0" t="inlineStr">
        <is>
          <t>IOWA FLINT W GD:139110E-2XL</t>
        </is>
      </c>
      <c r="F1379" s="2">
        <v>800139110089</v>
      </c>
      <c r="G1379" s="0" t="inlineStr">
        <is>
          <t>WOMENS</t>
        </is>
      </c>
      <c r="H1379" s="0" t="inlineStr">
        <is>
          <t>2XL</t>
        </is>
      </c>
      <c r="I1379" s="0">
        <v>46.99</v>
      </c>
      <c r="J1379" s="0">
        <v>2</v>
      </c>
    </row>
    <row r="1380" spans="1:10" customHeight="0">
      <c r="A1380" s="0">
        <f>HYPERLINK("https://dl.dropboxusercontent.com/scl/fi/ysza5eboyr7us8yhwhbqo/flint-139110-tn.jpg?rlkey=rpd0i8easq7rd8fewbz6xkqp8&amp;dl=0","Click to download Image")</f>
      </c>
      <c r="B1380" s="0">
        <f>HYPERLINK("https://dl.dropboxusercontent.com/scl/fi/axrig6cvsngpzxzu587s7/womens-pullover-size-chartsflint.jpg?rlkey=voz3wxxuga8v9nhx4zbbspoiu&amp;dl=0","Click to download SizeChart")</f>
      </c>
      <c r="C1380" s="0" t="inlineStr">
        <is>
          <t>Flint Women's 1/4 Zip</t>
        </is>
      </c>
      <c r="D1380" s="1">
        <v>139110</v>
      </c>
      <c r="E1380" s="0" t="inlineStr">
        <is>
          <t>IOWA FLINT W GD:139110F-3XL</t>
        </is>
      </c>
      <c r="F1380" s="2">
        <v>800139110096</v>
      </c>
      <c r="G1380" s="0" t="inlineStr">
        <is>
          <t>WOMENS</t>
        </is>
      </c>
      <c r="H1380" s="0" t="inlineStr">
        <is>
          <t>3XL</t>
        </is>
      </c>
      <c r="I1380" s="0">
        <v>46.99</v>
      </c>
      <c r="J1380" s="0">
        <v>2</v>
      </c>
    </row>
    <row r="1381" spans="1:10" customHeight="0">
      <c r="A1381" s="0">
        <f>HYPERLINK("https://dl.dropboxusercontent.com/scl/fi/2pbkcqe70zeq1h5nzxejs/133223t.jpg?rlkey=mr0mw0tgum4bj2vj0vv0f4bgy&amp;dl=0","Click to download Image")</f>
      </c>
      <c r="B1381" s="0">
        <f>HYPERLINK("https://dl.dropboxusercontent.com/scl/fi/axrig6cvsngpzxzu587s7/womens-pullover-size-chartsflint.jpg?rlkey=voz3wxxuga8v9nhx4zbbspoiu&amp;dl=0","Click to download SizeChart")</f>
      </c>
      <c r="C1381" s="0" t="inlineStr">
        <is>
          <t>Flint Women's 1/4 Zip</t>
        </is>
      </c>
      <c r="D1381" s="1">
        <v>133223</v>
      </c>
      <c r="E1381" s="0" t="inlineStr">
        <is>
          <t>IOWA FLINT2 W GY:133223A-S</t>
        </is>
      </c>
      <c r="F1381" s="2">
        <v>800133223044</v>
      </c>
      <c r="G1381" s="0" t="inlineStr">
        <is>
          <t>WOMENS</t>
        </is>
      </c>
      <c r="H1381" s="0" t="inlineStr">
        <is>
          <t>S</t>
        </is>
      </c>
      <c r="I1381" s="0">
        <v>44.99</v>
      </c>
      <c r="J1381" s="0">
        <v>9</v>
      </c>
    </row>
    <row r="1382" spans="1:10" customHeight="0">
      <c r="A1382" s="0">
        <f>HYPERLINK("https://dl.dropboxusercontent.com/scl/fi/2pbkcqe70zeq1h5nzxejs/133223t.jpg?rlkey=mr0mw0tgum4bj2vj0vv0f4bgy&amp;dl=0","Click to download Image")</f>
      </c>
      <c r="B1382" s="0">
        <f>HYPERLINK("https://dl.dropboxusercontent.com/scl/fi/axrig6cvsngpzxzu587s7/womens-pullover-size-chartsflint.jpg?rlkey=voz3wxxuga8v9nhx4zbbspoiu&amp;dl=0","Click to download SizeChart")</f>
      </c>
      <c r="C1382" s="0" t="inlineStr">
        <is>
          <t>Flint Women's 1/4 Zip</t>
        </is>
      </c>
      <c r="D1382" s="1">
        <v>133223</v>
      </c>
      <c r="E1382" s="0" t="inlineStr">
        <is>
          <t>IOWA FLINT2 W GY:133223B-M</t>
        </is>
      </c>
      <c r="F1382" s="2">
        <v>800133223051</v>
      </c>
      <c r="G1382" s="0" t="inlineStr">
        <is>
          <t>WOMENS</t>
        </is>
      </c>
      <c r="H1382" s="0" t="inlineStr">
        <is>
          <t>M</t>
        </is>
      </c>
      <c r="I1382" s="0">
        <v>44.99</v>
      </c>
      <c r="J1382" s="0">
        <v>20</v>
      </c>
    </row>
    <row r="1383" spans="1:10" customHeight="0">
      <c r="A1383" s="0">
        <f>HYPERLINK("https://dl.dropboxusercontent.com/scl/fi/2pbkcqe70zeq1h5nzxejs/133223t.jpg?rlkey=mr0mw0tgum4bj2vj0vv0f4bgy&amp;dl=0","Click to download Image")</f>
      </c>
      <c r="B1383" s="0">
        <f>HYPERLINK("https://dl.dropboxusercontent.com/scl/fi/axrig6cvsngpzxzu587s7/womens-pullover-size-chartsflint.jpg?rlkey=voz3wxxuga8v9nhx4zbbspoiu&amp;dl=0","Click to download SizeChart")</f>
      </c>
      <c r="C1383" s="0" t="inlineStr">
        <is>
          <t>Flint Women's 1/4 Zip</t>
        </is>
      </c>
      <c r="D1383" s="1">
        <v>133223</v>
      </c>
      <c r="E1383" s="0" t="inlineStr">
        <is>
          <t>IOWA FLINT2 W GY:133223C-L</t>
        </is>
      </c>
      <c r="F1383" s="2">
        <v>800133223068</v>
      </c>
      <c r="G1383" s="0" t="inlineStr">
        <is>
          <t>WOMENS</t>
        </is>
      </c>
      <c r="H1383" s="0" t="inlineStr">
        <is>
          <t>L</t>
        </is>
      </c>
      <c r="I1383" s="0">
        <v>44.99</v>
      </c>
      <c r="J1383" s="0">
        <v>19</v>
      </c>
    </row>
    <row r="1384" spans="1:10" customHeight="0">
      <c r="A1384" s="0">
        <f>HYPERLINK("https://dl.dropboxusercontent.com/scl/fi/2pbkcqe70zeq1h5nzxejs/133223t.jpg?rlkey=mr0mw0tgum4bj2vj0vv0f4bgy&amp;dl=0","Click to download Image")</f>
      </c>
      <c r="B1384" s="0">
        <f>HYPERLINK("https://dl.dropboxusercontent.com/scl/fi/axrig6cvsngpzxzu587s7/womens-pullover-size-chartsflint.jpg?rlkey=voz3wxxuga8v9nhx4zbbspoiu&amp;dl=0","Click to download SizeChart")</f>
      </c>
      <c r="C1384" s="0" t="inlineStr">
        <is>
          <t>Flint Women's 1/4 Zip</t>
        </is>
      </c>
      <c r="D1384" s="1">
        <v>133223</v>
      </c>
      <c r="E1384" s="0" t="inlineStr">
        <is>
          <t>IOWA FLINT2 W GY:133223D-XL</t>
        </is>
      </c>
      <c r="F1384" s="2">
        <v>800133223075</v>
      </c>
      <c r="G1384" s="0" t="inlineStr">
        <is>
          <t>WOMENS</t>
        </is>
      </c>
      <c r="H1384" s="0" t="inlineStr">
        <is>
          <t>XL</t>
        </is>
      </c>
      <c r="I1384" s="0">
        <v>44.99</v>
      </c>
      <c r="J1384" s="0">
        <v>7</v>
      </c>
    </row>
    <row r="1385" spans="1:10" customHeight="0">
      <c r="A1385" s="0">
        <f>HYPERLINK("https://dl.dropboxusercontent.com/scl/fi/2pbkcqe70zeq1h5nzxejs/133223t.jpg?rlkey=mr0mw0tgum4bj2vj0vv0f4bgy&amp;dl=0","Click to download Image")</f>
      </c>
      <c r="B1385" s="0">
        <f>HYPERLINK("https://dl.dropboxusercontent.com/scl/fi/axrig6cvsngpzxzu587s7/womens-pullover-size-chartsflint.jpg?rlkey=voz3wxxuga8v9nhx4zbbspoiu&amp;dl=0","Click to download SizeChart")</f>
      </c>
      <c r="C1385" s="0" t="inlineStr">
        <is>
          <t>Flint Women's 1/4 Zip</t>
        </is>
      </c>
      <c r="D1385" s="1">
        <v>133223</v>
      </c>
      <c r="E1385" s="0" t="inlineStr">
        <is>
          <t>IOWA FLINT2 W GY:133223E-2XL</t>
        </is>
      </c>
      <c r="F1385" s="2">
        <v>800133223082</v>
      </c>
      <c r="G1385" s="0" t="inlineStr">
        <is>
          <t>WOMENS</t>
        </is>
      </c>
      <c r="H1385" s="0" t="inlineStr">
        <is>
          <t>2XL</t>
        </is>
      </c>
      <c r="I1385" s="0">
        <v>44.99</v>
      </c>
      <c r="J1385" s="0">
        <v>12</v>
      </c>
    </row>
    <row r="1386" spans="1:10" customHeight="0">
      <c r="A1386" s="0">
        <f>HYPERLINK("https://dl.dropboxusercontent.com/scl/fi/2pbkcqe70zeq1h5nzxejs/133223t.jpg?rlkey=mr0mw0tgum4bj2vj0vv0f4bgy&amp;dl=0","Click to download Image")</f>
      </c>
      <c r="B1386" s="0">
        <f>HYPERLINK("https://dl.dropboxusercontent.com/scl/fi/axrig6cvsngpzxzu587s7/womens-pullover-size-chartsflint.jpg?rlkey=voz3wxxuga8v9nhx4zbbspoiu&amp;dl=0","Click to download SizeChart")</f>
      </c>
      <c r="C1386" s="0" t="inlineStr">
        <is>
          <t>Flint Women's 1/4 Zip</t>
        </is>
      </c>
      <c r="D1386" s="1">
        <v>133223</v>
      </c>
      <c r="E1386" s="0" t="inlineStr">
        <is>
          <t>IOWA FLINT2 W GY:133223F-3XL</t>
        </is>
      </c>
      <c r="F1386" s="2">
        <v>800133223099</v>
      </c>
      <c r="G1386" s="0" t="inlineStr">
        <is>
          <t>WOMENS</t>
        </is>
      </c>
      <c r="H1386" s="0" t="inlineStr">
        <is>
          <t>3XL</t>
        </is>
      </c>
      <c r="I1386" s="0">
        <v>44.99</v>
      </c>
      <c r="J1386" s="0">
        <v>9</v>
      </c>
    </row>
    <row r="1387" spans="1:10" customHeight="0">
      <c r="A1387" s="0">
        <f>HYPERLINK("https://dl.dropboxusercontent.com/scl/fi/3higrpcdlff506dyxi3kh/flint97734.jpg?rlkey=a10hjx89mmfk2pgn9pfdpifz1&amp;dl=0","Click to download Image")</f>
      </c>
      <c r="B1387" s="0">
        <f>HYPERLINK("https://dl.dropboxusercontent.com/scl/fi/65uiyxansiwd70r1nqf38/mens-pullover-size-chartsflint.jpg?rlkey=fjnlce0o14cen1je3gh9jnftx&amp;dl=0","Click to download SizeChart")</f>
      </c>
      <c r="C1387" s="0" t="inlineStr">
        <is>
          <t>Flint Men's 1/4 Zip</t>
        </is>
      </c>
      <c r="D1387" s="1">
        <v>133220</v>
      </c>
      <c r="E1387" s="0" t="inlineStr">
        <is>
          <t>IOWA FLINT2 M BK:133220A-S</t>
        </is>
      </c>
      <c r="F1387" s="2">
        <v>800133220043</v>
      </c>
      <c r="G1387" s="0" t="inlineStr">
        <is>
          <t>MENS</t>
        </is>
      </c>
      <c r="H1387" s="0" t="inlineStr">
        <is>
          <t>S</t>
        </is>
      </c>
      <c r="I1387" s="0">
        <v>44.99</v>
      </c>
      <c r="J1387" s="0">
        <v>47</v>
      </c>
    </row>
    <row r="1388" spans="1:10" customHeight="0">
      <c r="A1388" s="0">
        <f>HYPERLINK("https://dl.dropboxusercontent.com/scl/fi/3higrpcdlff506dyxi3kh/flint97734.jpg?rlkey=a10hjx89mmfk2pgn9pfdpifz1&amp;dl=0","Click to download Image")</f>
      </c>
      <c r="B1388" s="0">
        <f>HYPERLINK("https://dl.dropboxusercontent.com/scl/fi/65uiyxansiwd70r1nqf38/mens-pullover-size-chartsflint.jpg?rlkey=fjnlce0o14cen1je3gh9jnftx&amp;dl=0","Click to download SizeChart")</f>
      </c>
      <c r="C1388" s="0" t="inlineStr">
        <is>
          <t>Flint Men's 1/4 Zip</t>
        </is>
      </c>
      <c r="D1388" s="1">
        <v>133220</v>
      </c>
      <c r="E1388" s="0" t="inlineStr">
        <is>
          <t>IOWA FLINT2 M BK:133220B-M</t>
        </is>
      </c>
      <c r="F1388" s="2">
        <v>800133220050</v>
      </c>
      <c r="G1388" s="0" t="inlineStr">
        <is>
          <t>MENS</t>
        </is>
      </c>
      <c r="H1388" s="0" t="inlineStr">
        <is>
          <t>M</t>
        </is>
      </c>
      <c r="I1388" s="0">
        <v>44.99</v>
      </c>
      <c r="J1388" s="0">
        <v>80</v>
      </c>
    </row>
    <row r="1389" spans="1:10" customHeight="0">
      <c r="A1389" s="0">
        <f>HYPERLINK("https://dl.dropboxusercontent.com/scl/fi/3higrpcdlff506dyxi3kh/flint97734.jpg?rlkey=a10hjx89mmfk2pgn9pfdpifz1&amp;dl=0","Click to download Image")</f>
      </c>
      <c r="B1389" s="0">
        <f>HYPERLINK("https://dl.dropboxusercontent.com/scl/fi/65uiyxansiwd70r1nqf38/mens-pullover-size-chartsflint.jpg?rlkey=fjnlce0o14cen1je3gh9jnftx&amp;dl=0","Click to download SizeChart")</f>
      </c>
      <c r="C1389" s="0" t="inlineStr">
        <is>
          <t>Flint Men's 1/4 Zip</t>
        </is>
      </c>
      <c r="D1389" s="1">
        <v>133220</v>
      </c>
      <c r="E1389" s="0" t="inlineStr">
        <is>
          <t>IOWA FLINT2 M BK:133220C-L</t>
        </is>
      </c>
      <c r="F1389" s="2">
        <v>800133220067</v>
      </c>
      <c r="G1389" s="0" t="inlineStr">
        <is>
          <t>MENS</t>
        </is>
      </c>
      <c r="H1389" s="0" t="inlineStr">
        <is>
          <t>L</t>
        </is>
      </c>
      <c r="I1389" s="0">
        <v>44.99</v>
      </c>
      <c r="J1389" s="0">
        <v>90</v>
      </c>
    </row>
    <row r="1390" spans="1:10" customHeight="0">
      <c r="A1390" s="0">
        <f>HYPERLINK("https://dl.dropboxusercontent.com/scl/fi/3higrpcdlff506dyxi3kh/flint97734.jpg?rlkey=a10hjx89mmfk2pgn9pfdpifz1&amp;dl=0","Click to download Image")</f>
      </c>
      <c r="B1390" s="0">
        <f>HYPERLINK("https://dl.dropboxusercontent.com/scl/fi/65uiyxansiwd70r1nqf38/mens-pullover-size-chartsflint.jpg?rlkey=fjnlce0o14cen1je3gh9jnftx&amp;dl=0","Click to download SizeChart")</f>
      </c>
      <c r="C1390" s="0" t="inlineStr">
        <is>
          <t>Flint Men's 1/4 Zip</t>
        </is>
      </c>
      <c r="D1390" s="1">
        <v>133220</v>
      </c>
      <c r="E1390" s="0" t="inlineStr">
        <is>
          <t>IOWA FLINT2 M BK:133220D-XL</t>
        </is>
      </c>
      <c r="F1390" s="2">
        <v>800133220074</v>
      </c>
      <c r="G1390" s="0" t="inlineStr">
        <is>
          <t>MENS</t>
        </is>
      </c>
      <c r="H1390" s="0" t="inlineStr">
        <is>
          <t>XL</t>
        </is>
      </c>
      <c r="I1390" s="0">
        <v>44.99</v>
      </c>
      <c r="J1390" s="0">
        <v>110</v>
      </c>
    </row>
    <row r="1391" spans="1:10" customHeight="0">
      <c r="A1391" s="0">
        <f>HYPERLINK("https://dl.dropboxusercontent.com/scl/fi/3higrpcdlff506dyxi3kh/flint97734.jpg?rlkey=a10hjx89mmfk2pgn9pfdpifz1&amp;dl=0","Click to download Image")</f>
      </c>
      <c r="B1391" s="0">
        <f>HYPERLINK("https://dl.dropboxusercontent.com/scl/fi/65uiyxansiwd70r1nqf38/mens-pullover-size-chartsflint.jpg?rlkey=fjnlce0o14cen1je3gh9jnftx&amp;dl=0","Click to download SizeChart")</f>
      </c>
      <c r="C1391" s="0" t="inlineStr">
        <is>
          <t>Flint Men's 1/4 Zip</t>
        </is>
      </c>
      <c r="D1391" s="1">
        <v>133220</v>
      </c>
      <c r="E1391" s="0" t="inlineStr">
        <is>
          <t>IOWA FLINT2 M BK:133220E-2XL</t>
        </is>
      </c>
      <c r="F1391" s="2">
        <v>800133220081</v>
      </c>
      <c r="G1391" s="0" t="inlineStr">
        <is>
          <t>MENS</t>
        </is>
      </c>
      <c r="H1391" s="0" t="inlineStr">
        <is>
          <t>2XL</t>
        </is>
      </c>
      <c r="I1391" s="0">
        <v>46.99</v>
      </c>
      <c r="J1391" s="0">
        <v>76</v>
      </c>
    </row>
    <row r="1392" spans="1:10" customHeight="0">
      <c r="A1392" s="0">
        <f>HYPERLINK("https://dl.dropboxusercontent.com/scl/fi/3higrpcdlff506dyxi3kh/flint97734.jpg?rlkey=a10hjx89mmfk2pgn9pfdpifz1&amp;dl=0","Click to download Image")</f>
      </c>
      <c r="B1392" s="0">
        <f>HYPERLINK("https://dl.dropboxusercontent.com/scl/fi/65uiyxansiwd70r1nqf38/mens-pullover-size-chartsflint.jpg?rlkey=fjnlce0o14cen1je3gh9jnftx&amp;dl=0","Click to download SizeChart")</f>
      </c>
      <c r="C1392" s="0" t="inlineStr">
        <is>
          <t>Flint Men's 1/4 Zip</t>
        </is>
      </c>
      <c r="D1392" s="1">
        <v>133220</v>
      </c>
      <c r="E1392" s="0" t="inlineStr">
        <is>
          <t>IOWA FLINT2 M BK:133220F-3XL</t>
        </is>
      </c>
      <c r="F1392" s="2">
        <v>800133220098</v>
      </c>
      <c r="G1392" s="0" t="inlineStr">
        <is>
          <t>MENS</t>
        </is>
      </c>
      <c r="H1392" s="0" t="inlineStr">
        <is>
          <t>3XL</t>
        </is>
      </c>
      <c r="I1392" s="0">
        <v>46.99</v>
      </c>
      <c r="J1392" s="0">
        <v>44</v>
      </c>
    </row>
    <row r="1393" spans="1:10" customHeight="0">
      <c r="A1393" s="0">
        <f>HYPERLINK("https://dl.dropboxusercontent.com/scl/fi/1adib1bl6hig94ju3e8b2/mock-162445-iowa-flint-m-bk-v1-02.jpg?rlkey=gzgwv7m9i6pl9j0zhj9zas8hc&amp;dl=0","Click to download Image")</f>
      </c>
      <c r="B1393" s="0">
        <f>HYPERLINK("https://dl.dropboxusercontent.com/scl/fi/65uiyxansiwd70r1nqf38/mens-pullover-size-chartsflint.jpg?rlkey=fjnlce0o14cen1je3gh9jnftx&amp;dl=0","Click to download SizeChart")</f>
      </c>
      <c r="C1393" s="0" t="inlineStr">
        <is>
          <t>Flint Men's 1/4 Zip</t>
        </is>
      </c>
      <c r="D1393" s="1">
        <v>162445</v>
      </c>
      <c r="E1393" s="0" t="inlineStr">
        <is>
          <t>IOWA FLINT M GD:162445A-S</t>
        </is>
      </c>
      <c r="F1393" s="2">
        <v>800162445042</v>
      </c>
      <c r="G1393" s="0" t="inlineStr">
        <is>
          <t>MENS</t>
        </is>
      </c>
      <c r="H1393" s="0" t="inlineStr">
        <is>
          <t>S</t>
        </is>
      </c>
      <c r="I1393" s="0">
        <v>44.99</v>
      </c>
      <c r="J1393" s="0">
        <v>25</v>
      </c>
    </row>
    <row r="1394" spans="1:10" customHeight="0">
      <c r="A1394" s="0">
        <f>HYPERLINK("https://dl.dropboxusercontent.com/scl/fi/1adib1bl6hig94ju3e8b2/mock-162445-iowa-flint-m-bk-v1-02.jpg?rlkey=gzgwv7m9i6pl9j0zhj9zas8hc&amp;dl=0","Click to download Image")</f>
      </c>
      <c r="B1394" s="0">
        <f>HYPERLINK("https://dl.dropboxusercontent.com/scl/fi/65uiyxansiwd70r1nqf38/mens-pullover-size-chartsflint.jpg?rlkey=fjnlce0o14cen1je3gh9jnftx&amp;dl=0","Click to download SizeChart")</f>
      </c>
      <c r="C1394" s="0" t="inlineStr">
        <is>
          <t>Flint Men's 1/4 Zip</t>
        </is>
      </c>
      <c r="D1394" s="1">
        <v>162445</v>
      </c>
      <c r="E1394" s="0" t="inlineStr">
        <is>
          <t>IOWA FLINT M GD:162445B-M</t>
        </is>
      </c>
      <c r="F1394" s="2">
        <v>800162445059</v>
      </c>
      <c r="G1394" s="0" t="inlineStr">
        <is>
          <t>MENS</t>
        </is>
      </c>
      <c r="H1394" s="0" t="inlineStr">
        <is>
          <t>M</t>
        </is>
      </c>
      <c r="I1394" s="0">
        <v>44.99</v>
      </c>
      <c r="J1394" s="0">
        <v>49</v>
      </c>
    </row>
    <row r="1395" spans="1:10" customHeight="0">
      <c r="A1395" s="0">
        <f>HYPERLINK("https://dl.dropboxusercontent.com/scl/fi/1adib1bl6hig94ju3e8b2/mock-162445-iowa-flint-m-bk-v1-02.jpg?rlkey=gzgwv7m9i6pl9j0zhj9zas8hc&amp;dl=0","Click to download Image")</f>
      </c>
      <c r="B1395" s="0">
        <f>HYPERLINK("https://dl.dropboxusercontent.com/scl/fi/65uiyxansiwd70r1nqf38/mens-pullover-size-chartsflint.jpg?rlkey=fjnlce0o14cen1je3gh9jnftx&amp;dl=0","Click to download SizeChart")</f>
      </c>
      <c r="C1395" s="0" t="inlineStr">
        <is>
          <t>Flint Men's 1/4 Zip</t>
        </is>
      </c>
      <c r="D1395" s="1">
        <v>162445</v>
      </c>
      <c r="E1395" s="0" t="inlineStr">
        <is>
          <t>IOWA FLINT M GD:162445C-L</t>
        </is>
      </c>
      <c r="F1395" s="2">
        <v>800162445066</v>
      </c>
      <c r="G1395" s="0" t="inlineStr">
        <is>
          <t>MENS</t>
        </is>
      </c>
      <c r="H1395" s="0" t="inlineStr">
        <is>
          <t>L</t>
        </is>
      </c>
      <c r="I1395" s="0">
        <v>44.99</v>
      </c>
      <c r="J1395" s="0">
        <v>77</v>
      </c>
    </row>
    <row r="1396" spans="1:10" customHeight="0">
      <c r="A1396" s="0">
        <f>HYPERLINK("https://dl.dropboxusercontent.com/scl/fi/1adib1bl6hig94ju3e8b2/mock-162445-iowa-flint-m-bk-v1-02.jpg?rlkey=gzgwv7m9i6pl9j0zhj9zas8hc&amp;dl=0","Click to download Image")</f>
      </c>
      <c r="B1396" s="0">
        <f>HYPERLINK("https://dl.dropboxusercontent.com/scl/fi/65uiyxansiwd70r1nqf38/mens-pullover-size-chartsflint.jpg?rlkey=fjnlce0o14cen1je3gh9jnftx&amp;dl=0","Click to download SizeChart")</f>
      </c>
      <c r="C1396" s="0" t="inlineStr">
        <is>
          <t>Flint Men's 1/4 Zip</t>
        </is>
      </c>
      <c r="D1396" s="1">
        <v>162445</v>
      </c>
      <c r="E1396" s="0" t="inlineStr">
        <is>
          <t>IOWA FLINT M GD:162445D-XL</t>
        </is>
      </c>
      <c r="F1396" s="2">
        <v>800162445073</v>
      </c>
      <c r="G1396" s="0" t="inlineStr">
        <is>
          <t>MENS</t>
        </is>
      </c>
      <c r="H1396" s="0" t="inlineStr">
        <is>
          <t>XL</t>
        </is>
      </c>
      <c r="I1396" s="0">
        <v>44.99</v>
      </c>
      <c r="J1396" s="0">
        <v>77</v>
      </c>
    </row>
    <row r="1397" spans="1:10" customHeight="0">
      <c r="A1397" s="0">
        <f>HYPERLINK("https://dl.dropboxusercontent.com/scl/fi/1adib1bl6hig94ju3e8b2/mock-162445-iowa-flint-m-bk-v1-02.jpg?rlkey=gzgwv7m9i6pl9j0zhj9zas8hc&amp;dl=0","Click to download Image")</f>
      </c>
      <c r="B1397" s="0">
        <f>HYPERLINK("https://dl.dropboxusercontent.com/scl/fi/65uiyxansiwd70r1nqf38/mens-pullover-size-chartsflint.jpg?rlkey=fjnlce0o14cen1je3gh9jnftx&amp;dl=0","Click to download SizeChart")</f>
      </c>
      <c r="C1397" s="0" t="inlineStr">
        <is>
          <t>Flint Men's 1/4 Zip</t>
        </is>
      </c>
      <c r="D1397" s="1">
        <v>162445</v>
      </c>
      <c r="E1397" s="0" t="inlineStr">
        <is>
          <t>IOWA FLINT M GD:162445E-2XL</t>
        </is>
      </c>
      <c r="F1397" s="2">
        <v>800162445080</v>
      </c>
      <c r="G1397" s="0" t="inlineStr">
        <is>
          <t>MENS</t>
        </is>
      </c>
      <c r="H1397" s="0" t="inlineStr">
        <is>
          <t>2XL</t>
        </is>
      </c>
      <c r="I1397" s="0">
        <v>46.99</v>
      </c>
      <c r="J1397" s="0">
        <v>46</v>
      </c>
    </row>
    <row r="1398" spans="1:10" customHeight="0">
      <c r="A1398" s="0">
        <f>HYPERLINK("https://dl.dropboxusercontent.com/scl/fi/1adib1bl6hig94ju3e8b2/mock-162445-iowa-flint-m-bk-v1-02.jpg?rlkey=gzgwv7m9i6pl9j0zhj9zas8hc&amp;dl=0","Click to download Image")</f>
      </c>
      <c r="B1398" s="0">
        <f>HYPERLINK("https://dl.dropboxusercontent.com/scl/fi/65uiyxansiwd70r1nqf38/mens-pullover-size-chartsflint.jpg?rlkey=fjnlce0o14cen1je3gh9jnftx&amp;dl=0","Click to download SizeChart")</f>
      </c>
      <c r="C1398" s="0" t="inlineStr">
        <is>
          <t>Flint Men's 1/4 Zip</t>
        </is>
      </c>
      <c r="D1398" s="1">
        <v>162445</v>
      </c>
      <c r="E1398" s="0" t="inlineStr">
        <is>
          <t>IOWA FLINT M GD:162445F-3XL</t>
        </is>
      </c>
      <c r="F1398" s="2">
        <v>800162445097</v>
      </c>
      <c r="G1398" s="0" t="inlineStr">
        <is>
          <t>MENS</t>
        </is>
      </c>
      <c r="H1398" s="0" t="inlineStr">
        <is>
          <t>3XL</t>
        </is>
      </c>
      <c r="I1398" s="0">
        <v>46.99</v>
      </c>
      <c r="J1398" s="0">
        <v>24</v>
      </c>
    </row>
    <row r="1399" spans="1:10" customHeight="0">
      <c r="A1399" s="0">
        <f>HYPERLINK("https://dl.dropboxusercontent.com/scl/fi/36mj0j99xhngq29qv236s/quincy-133638-tn.jpg?rlkey=yxrn1yx5nv9dr9q9a0193f5aw&amp;dl=0","Click to download Image")</f>
      </c>
      <c r="B1399" s="0">
        <f>HYPERLINK("https://dl.dropboxusercontent.com/scl/fi/h7507dgsalvgo07f3z67d/mens-hoodie-size-chartsquincy.jpg?rlkey=s9yueg6v9uu753yo0nsubwwxu&amp;dl=0","Click to download SizeChart")</f>
      </c>
      <c r="C1399" s="0" t="inlineStr">
        <is>
          <t>Quincy Men's Fleece Hoodie</t>
        </is>
      </c>
      <c r="D1399" s="1">
        <v>133638</v>
      </c>
      <c r="E1399" s="0" t="inlineStr">
        <is>
          <t>IOWA QUINCY M BK:133638A-S</t>
        </is>
      </c>
      <c r="F1399" s="2">
        <v>800133638046</v>
      </c>
      <c r="G1399" s="0" t="inlineStr">
        <is>
          <t>MENS</t>
        </is>
      </c>
      <c r="H1399" s="0" t="inlineStr">
        <is>
          <t>S</t>
        </is>
      </c>
      <c r="I1399" s="0">
        <v>49.99</v>
      </c>
      <c r="J1399" s="0">
        <v>2</v>
      </c>
    </row>
    <row r="1400" spans="1:10" customHeight="0">
      <c r="A1400" s="0">
        <f>HYPERLINK("https://dl.dropboxusercontent.com/scl/fi/36mj0j99xhngq29qv236s/quincy-133638-tn.jpg?rlkey=yxrn1yx5nv9dr9q9a0193f5aw&amp;dl=0","Click to download Image")</f>
      </c>
      <c r="B1400" s="0">
        <f>HYPERLINK("https://dl.dropboxusercontent.com/scl/fi/h7507dgsalvgo07f3z67d/mens-hoodie-size-chartsquincy.jpg?rlkey=s9yueg6v9uu753yo0nsubwwxu&amp;dl=0","Click to download SizeChart")</f>
      </c>
      <c r="C1400" s="0" t="inlineStr">
        <is>
          <t>Quincy Men's Fleece Hoodie</t>
        </is>
      </c>
      <c r="D1400" s="1">
        <v>133638</v>
      </c>
      <c r="E1400" s="0" t="inlineStr">
        <is>
          <t>IOWA QUINCY M BK:133638B-M</t>
        </is>
      </c>
      <c r="F1400" s="2">
        <v>800133638053</v>
      </c>
      <c r="G1400" s="0" t="inlineStr">
        <is>
          <t>MENS</t>
        </is>
      </c>
      <c r="H1400" s="0" t="inlineStr">
        <is>
          <t>M</t>
        </is>
      </c>
      <c r="I1400" s="0">
        <v>49.99</v>
      </c>
      <c r="J1400" s="0">
        <v>0</v>
      </c>
    </row>
    <row r="1401" spans="1:10" customHeight="0">
      <c r="A1401" s="0">
        <f>HYPERLINK("https://dl.dropboxusercontent.com/scl/fi/36mj0j99xhngq29qv236s/quincy-133638-tn.jpg?rlkey=yxrn1yx5nv9dr9q9a0193f5aw&amp;dl=0","Click to download Image")</f>
      </c>
      <c r="B1401" s="0">
        <f>HYPERLINK("https://dl.dropboxusercontent.com/scl/fi/h7507dgsalvgo07f3z67d/mens-hoodie-size-chartsquincy.jpg?rlkey=s9yueg6v9uu753yo0nsubwwxu&amp;dl=0","Click to download SizeChart")</f>
      </c>
      <c r="C1401" s="0" t="inlineStr">
        <is>
          <t>Quincy Men's Fleece Hoodie</t>
        </is>
      </c>
      <c r="D1401" s="1">
        <v>133638</v>
      </c>
      <c r="E1401" s="0" t="inlineStr">
        <is>
          <t>IOWA QUINCY M BK:133638C-L</t>
        </is>
      </c>
      <c r="F1401" s="2">
        <v>800133638060</v>
      </c>
      <c r="G1401" s="0" t="inlineStr">
        <is>
          <t>MENS</t>
        </is>
      </c>
      <c r="H1401" s="0" t="inlineStr">
        <is>
          <t>L</t>
        </is>
      </c>
      <c r="I1401" s="0">
        <v>49.99</v>
      </c>
      <c r="J1401" s="0">
        <v>0</v>
      </c>
    </row>
    <row r="1402" spans="1:10" customHeight="0">
      <c r="A1402" s="0">
        <f>HYPERLINK("https://dl.dropboxusercontent.com/scl/fi/36mj0j99xhngq29qv236s/quincy-133638-tn.jpg?rlkey=yxrn1yx5nv9dr9q9a0193f5aw&amp;dl=0","Click to download Image")</f>
      </c>
      <c r="B1402" s="0">
        <f>HYPERLINK("https://dl.dropboxusercontent.com/scl/fi/h7507dgsalvgo07f3z67d/mens-hoodie-size-chartsquincy.jpg?rlkey=s9yueg6v9uu753yo0nsubwwxu&amp;dl=0","Click to download SizeChart")</f>
      </c>
      <c r="C1402" s="0" t="inlineStr">
        <is>
          <t>Quincy Men's Fleece Hoodie</t>
        </is>
      </c>
      <c r="D1402" s="1">
        <v>133638</v>
      </c>
      <c r="E1402" s="0" t="inlineStr">
        <is>
          <t>IOWA QUINCY M BK:133638D-XL</t>
        </is>
      </c>
      <c r="F1402" s="2">
        <v>800133638077</v>
      </c>
      <c r="G1402" s="0" t="inlineStr">
        <is>
          <t>MENS</t>
        </is>
      </c>
      <c r="H1402" s="0" t="inlineStr">
        <is>
          <t>XL</t>
        </is>
      </c>
      <c r="I1402" s="0">
        <v>49.99</v>
      </c>
      <c r="J1402" s="0">
        <v>0</v>
      </c>
    </row>
    <row r="1403" spans="1:10" customHeight="0">
      <c r="A1403" s="0">
        <f>HYPERLINK("https://dl.dropboxusercontent.com/scl/fi/36mj0j99xhngq29qv236s/quincy-133638-tn.jpg?rlkey=yxrn1yx5nv9dr9q9a0193f5aw&amp;dl=0","Click to download Image")</f>
      </c>
      <c r="B1403" s="0">
        <f>HYPERLINK("https://dl.dropboxusercontent.com/scl/fi/h7507dgsalvgo07f3z67d/mens-hoodie-size-chartsquincy.jpg?rlkey=s9yueg6v9uu753yo0nsubwwxu&amp;dl=0","Click to download SizeChart")</f>
      </c>
      <c r="C1403" s="0" t="inlineStr">
        <is>
          <t>Quincy Men's Fleece Hoodie</t>
        </is>
      </c>
      <c r="D1403" s="1">
        <v>133638</v>
      </c>
      <c r="E1403" s="0" t="inlineStr">
        <is>
          <t>IOWA QUINCY M BK:133638E-2XL</t>
        </is>
      </c>
      <c r="F1403" s="2">
        <v>800133638084</v>
      </c>
      <c r="G1403" s="0" t="inlineStr">
        <is>
          <t>MENS</t>
        </is>
      </c>
      <c r="H1403" s="0" t="inlineStr">
        <is>
          <t>2XL</t>
        </is>
      </c>
      <c r="I1403" s="0">
        <v>51.99</v>
      </c>
      <c r="J1403" s="0">
        <v>0</v>
      </c>
    </row>
    <row r="1404" spans="1:10" customHeight="0">
      <c r="A1404" s="0">
        <f>HYPERLINK("https://dl.dropboxusercontent.com/scl/fi/36mj0j99xhngq29qv236s/quincy-133638-tn.jpg?rlkey=yxrn1yx5nv9dr9q9a0193f5aw&amp;dl=0","Click to download Image")</f>
      </c>
      <c r="B1404" s="0">
        <f>HYPERLINK("https://dl.dropboxusercontent.com/scl/fi/h7507dgsalvgo07f3z67d/mens-hoodie-size-chartsquincy.jpg?rlkey=s9yueg6v9uu753yo0nsubwwxu&amp;dl=0","Click to download SizeChart")</f>
      </c>
      <c r="C1404" s="0" t="inlineStr">
        <is>
          <t>Quincy Men's Fleece Hoodie</t>
        </is>
      </c>
      <c r="D1404" s="1">
        <v>133638</v>
      </c>
      <c r="E1404" s="0" t="inlineStr">
        <is>
          <t>IOWA QUINCY M BK:133638F-3XL</t>
        </is>
      </c>
      <c r="F1404" s="2">
        <v>800133638091</v>
      </c>
      <c r="G1404" s="0" t="inlineStr">
        <is>
          <t>MENS</t>
        </is>
      </c>
      <c r="H1404" s="0" t="inlineStr">
        <is>
          <t>3XL</t>
        </is>
      </c>
      <c r="I1404" s="0">
        <v>51.99</v>
      </c>
      <c r="J1404" s="0">
        <v>0</v>
      </c>
    </row>
    <row r="1405" spans="1:10" customHeight="0">
      <c r="A1405" s="0">
        <f>HYPERLINK("https://dl.dropboxusercontent.com/scl/fi/fdvxy31w8o9gv2zfc2jxa/ramir-137838-f.jpg?rlkey=3fsvw9h8vorf8azhpfxvh82gw&amp;dl=0","Click to download Image")</f>
      </c>
      <c r="C1405" s="0" t="inlineStr">
        <is>
          <t>Ramir Heavy-Duty Canvas Hooded Jacket</t>
        </is>
      </c>
      <c r="D1405" s="1">
        <v>137838</v>
      </c>
      <c r="E1405" s="0" t="inlineStr">
        <is>
          <t>IOWA RAMIR M BK:137838A-S</t>
        </is>
      </c>
      <c r="F1405" s="2">
        <v>800137838046</v>
      </c>
      <c r="G1405" s="0" t="inlineStr">
        <is>
          <t>MENS</t>
        </is>
      </c>
      <c r="H1405" s="0" t="inlineStr">
        <is>
          <t>S</t>
        </is>
      </c>
      <c r="I1405" s="0">
        <v>139.99</v>
      </c>
      <c r="J1405" s="0">
        <v>2</v>
      </c>
    </row>
    <row r="1406" spans="1:10" customHeight="0">
      <c r="A1406" s="0">
        <f>HYPERLINK("https://dl.dropboxusercontent.com/scl/fi/fdvxy31w8o9gv2zfc2jxa/ramir-137838-f.jpg?rlkey=3fsvw9h8vorf8azhpfxvh82gw&amp;dl=0","Click to download Image")</f>
      </c>
      <c r="C1406" s="0" t="inlineStr">
        <is>
          <t>Ramir Heavy-Duty Canvas Hooded Jacket</t>
        </is>
      </c>
      <c r="D1406" s="1">
        <v>137838</v>
      </c>
      <c r="E1406" s="0" t="inlineStr">
        <is>
          <t>IOWA RAMIR M BK:137838B-M</t>
        </is>
      </c>
      <c r="F1406" s="2">
        <v>800137838053</v>
      </c>
      <c r="G1406" s="0" t="inlineStr">
        <is>
          <t>MENS</t>
        </is>
      </c>
      <c r="H1406" s="0" t="inlineStr">
        <is>
          <t>M</t>
        </is>
      </c>
      <c r="I1406" s="0">
        <v>139.99</v>
      </c>
      <c r="J1406" s="0">
        <v>4</v>
      </c>
    </row>
    <row r="1407" spans="1:10" customHeight="0">
      <c r="A1407" s="0">
        <f>HYPERLINK("https://dl.dropboxusercontent.com/scl/fi/fdvxy31w8o9gv2zfc2jxa/ramir-137838-f.jpg?rlkey=3fsvw9h8vorf8azhpfxvh82gw&amp;dl=0","Click to download Image")</f>
      </c>
      <c r="C1407" s="0" t="inlineStr">
        <is>
          <t>Ramir Heavy-Duty Canvas Hooded Jacket</t>
        </is>
      </c>
      <c r="D1407" s="1">
        <v>137838</v>
      </c>
      <c r="E1407" s="0" t="inlineStr">
        <is>
          <t>IOWA RAMIR M BK:137838C-L</t>
        </is>
      </c>
      <c r="F1407" s="2">
        <v>800137838060</v>
      </c>
      <c r="G1407" s="0" t="inlineStr">
        <is>
          <t>MENS</t>
        </is>
      </c>
      <c r="H1407" s="0" t="inlineStr">
        <is>
          <t>L</t>
        </is>
      </c>
      <c r="I1407" s="0">
        <v>139.99</v>
      </c>
      <c r="J1407" s="0">
        <v>3</v>
      </c>
    </row>
    <row r="1408" spans="1:10" customHeight="0">
      <c r="A1408" s="0">
        <f>HYPERLINK("https://dl.dropboxusercontent.com/scl/fi/fdvxy31w8o9gv2zfc2jxa/ramir-137838-f.jpg?rlkey=3fsvw9h8vorf8azhpfxvh82gw&amp;dl=0","Click to download Image")</f>
      </c>
      <c r="C1408" s="0" t="inlineStr">
        <is>
          <t>Ramir Heavy-Duty Canvas Hooded Jacket</t>
        </is>
      </c>
      <c r="D1408" s="1">
        <v>137838</v>
      </c>
      <c r="E1408" s="0" t="inlineStr">
        <is>
          <t>IOWA RAMIR M BK:137838D-XL</t>
        </is>
      </c>
      <c r="F1408" s="2">
        <v>800137838077</v>
      </c>
      <c r="G1408" s="0" t="inlineStr">
        <is>
          <t>MENS</t>
        </is>
      </c>
      <c r="H1408" s="0" t="inlineStr">
        <is>
          <t>XL</t>
        </is>
      </c>
      <c r="I1408" s="0">
        <v>139.99</v>
      </c>
      <c r="J1408" s="0">
        <v>4</v>
      </c>
    </row>
    <row r="1409" spans="1:10" customHeight="0">
      <c r="A1409" s="0">
        <f>HYPERLINK("https://dl.dropboxusercontent.com/scl/fi/fdvxy31w8o9gv2zfc2jxa/ramir-137838-f.jpg?rlkey=3fsvw9h8vorf8azhpfxvh82gw&amp;dl=0","Click to download Image")</f>
      </c>
      <c r="C1409" s="0" t="inlineStr">
        <is>
          <t>Ramir Heavy-Duty Canvas Hooded Jacket</t>
        </is>
      </c>
      <c r="D1409" s="1">
        <v>137838</v>
      </c>
      <c r="E1409" s="0" t="inlineStr">
        <is>
          <t>IOWA RAMIR M BK:137838E-2XL</t>
        </is>
      </c>
      <c r="F1409" s="2">
        <v>800137838084</v>
      </c>
      <c r="G1409" s="0" t="inlineStr">
        <is>
          <t>MENS</t>
        </is>
      </c>
      <c r="H1409" s="0" t="inlineStr">
        <is>
          <t>2XL</t>
        </is>
      </c>
      <c r="I1409" s="0">
        <v>141.99</v>
      </c>
      <c r="J1409" s="0">
        <v>3</v>
      </c>
    </row>
    <row r="1410" spans="1:10" customHeight="0">
      <c r="A1410" s="0">
        <f>HYPERLINK("https://dl.dropboxusercontent.com/scl/fi/fdvxy31w8o9gv2zfc2jxa/ramir-137838-f.jpg?rlkey=3fsvw9h8vorf8azhpfxvh82gw&amp;dl=0","Click to download Image")</f>
      </c>
      <c r="C1410" s="0" t="inlineStr">
        <is>
          <t>Ramir Heavy-Duty Canvas Hooded Jacket</t>
        </is>
      </c>
      <c r="D1410" s="1">
        <v>137838</v>
      </c>
      <c r="E1410" s="0" t="inlineStr">
        <is>
          <t>IOWA RAMIR M BK:137838F-3XL</t>
        </is>
      </c>
      <c r="F1410" s="2">
        <v>800137838091</v>
      </c>
      <c r="G1410" s="0" t="inlineStr">
        <is>
          <t>MENS</t>
        </is>
      </c>
      <c r="H1410" s="0" t="inlineStr">
        <is>
          <t>3XL</t>
        </is>
      </c>
      <c r="I1410" s="0">
        <v>141.99</v>
      </c>
      <c r="J1410" s="0">
        <v>2</v>
      </c>
    </row>
    <row r="1411" spans="1:10" customHeight="0">
      <c r="A1411" s="0">
        <f>HYPERLINK("https://dl.dropboxusercontent.com/scl/fi/9kv9q1d4v3avsvn1tadt2/153088-ia-champion-womens-polo-f.jpg?rlkey=jhkghgk6ghc90ys4jul4tupid&amp;dl=0","Click to download Image")</f>
      </c>
      <c r="B1411" s="0">
        <f>HYPERLINK("https://dl.dropboxusercontent.com/scl/fi/0ui82dczx0wuq1qy6llyh/womens-polo-size-chartsfleet.jpg?rlkey=uyqgnoz9ua16x09d1eti2wof4&amp;dl=0","Click to download SizeChart")</f>
      </c>
      <c r="C1411" s="0" t="inlineStr">
        <is>
          <t>Fast Break Fleet Women's Polo</t>
        </is>
      </c>
      <c r="D1411" s="1">
        <v>153088</v>
      </c>
      <c r="E1411" s="0" t="inlineStr">
        <is>
          <t>IOWA FLEET W BK:153088A-S</t>
        </is>
      </c>
      <c r="F1411" s="2">
        <v>800153088043</v>
      </c>
      <c r="G1411" s="0" t="inlineStr">
        <is>
          <t>WOMENS</t>
        </is>
      </c>
      <c r="H1411" s="0" t="inlineStr">
        <is>
          <t>S</t>
        </is>
      </c>
      <c r="I1411" s="0">
        <v>75</v>
      </c>
      <c r="J1411" s="0">
        <v>0</v>
      </c>
    </row>
    <row r="1412" spans="1:10" customHeight="0">
      <c r="A1412" s="0">
        <f>HYPERLINK("https://dl.dropboxusercontent.com/scl/fi/9kv9q1d4v3avsvn1tadt2/153088-ia-champion-womens-polo-f.jpg?rlkey=jhkghgk6ghc90ys4jul4tupid&amp;dl=0","Click to download Image")</f>
      </c>
      <c r="B1412" s="0">
        <f>HYPERLINK("https://dl.dropboxusercontent.com/scl/fi/0ui82dczx0wuq1qy6llyh/womens-polo-size-chartsfleet.jpg?rlkey=uyqgnoz9ua16x09d1eti2wof4&amp;dl=0","Click to download SizeChart")</f>
      </c>
      <c r="C1412" s="0" t="inlineStr">
        <is>
          <t>Fast Break Fleet Women's Polo</t>
        </is>
      </c>
      <c r="D1412" s="1">
        <v>153088</v>
      </c>
      <c r="E1412" s="0" t="inlineStr">
        <is>
          <t>IOWA FLEET W BK:153088B-M</t>
        </is>
      </c>
      <c r="F1412" s="2">
        <v>800153088050</v>
      </c>
      <c r="G1412" s="0" t="inlineStr">
        <is>
          <t>WOMENS</t>
        </is>
      </c>
      <c r="H1412" s="0" t="inlineStr">
        <is>
          <t>M</t>
        </is>
      </c>
      <c r="I1412" s="0">
        <v>75</v>
      </c>
      <c r="J1412" s="0">
        <v>0</v>
      </c>
    </row>
    <row r="1413" spans="1:10" customHeight="0">
      <c r="A1413" s="0">
        <f>HYPERLINK("https://dl.dropboxusercontent.com/scl/fi/9kv9q1d4v3avsvn1tadt2/153088-ia-champion-womens-polo-f.jpg?rlkey=jhkghgk6ghc90ys4jul4tupid&amp;dl=0","Click to download Image")</f>
      </c>
      <c r="B1413" s="0">
        <f>HYPERLINK("https://dl.dropboxusercontent.com/scl/fi/0ui82dczx0wuq1qy6llyh/womens-polo-size-chartsfleet.jpg?rlkey=uyqgnoz9ua16x09d1eti2wof4&amp;dl=0","Click to download SizeChart")</f>
      </c>
      <c r="C1413" s="0" t="inlineStr">
        <is>
          <t>Fast Break Fleet Women's Polo</t>
        </is>
      </c>
      <c r="D1413" s="1">
        <v>153088</v>
      </c>
      <c r="E1413" s="0" t="inlineStr">
        <is>
          <t>IOWA FLEET W BK:153088C-L</t>
        </is>
      </c>
      <c r="F1413" s="2">
        <v>800153088067</v>
      </c>
      <c r="G1413" s="0" t="inlineStr">
        <is>
          <t>WOMENS</t>
        </is>
      </c>
      <c r="H1413" s="0" t="inlineStr">
        <is>
          <t>L</t>
        </is>
      </c>
      <c r="I1413" s="0">
        <v>75</v>
      </c>
      <c r="J1413" s="0">
        <v>3</v>
      </c>
    </row>
    <row r="1414" spans="1:10" customHeight="0">
      <c r="A1414" s="0">
        <f>HYPERLINK("https://dl.dropboxusercontent.com/scl/fi/9kv9q1d4v3avsvn1tadt2/153088-ia-champion-womens-polo-f.jpg?rlkey=jhkghgk6ghc90ys4jul4tupid&amp;dl=0","Click to download Image")</f>
      </c>
      <c r="B1414" s="0">
        <f>HYPERLINK("https://dl.dropboxusercontent.com/scl/fi/0ui82dczx0wuq1qy6llyh/womens-polo-size-chartsfleet.jpg?rlkey=uyqgnoz9ua16x09d1eti2wof4&amp;dl=0","Click to download SizeChart")</f>
      </c>
      <c r="C1414" s="0" t="inlineStr">
        <is>
          <t>Fast Break Fleet Women's Polo</t>
        </is>
      </c>
      <c r="D1414" s="1">
        <v>153088</v>
      </c>
      <c r="E1414" s="0" t="inlineStr">
        <is>
          <t>IOWA FLEET W BK:153088D-XL</t>
        </is>
      </c>
      <c r="F1414" s="2">
        <v>800153088074</v>
      </c>
      <c r="G1414" s="0" t="inlineStr">
        <is>
          <t>WOMENS</t>
        </is>
      </c>
      <c r="H1414" s="0" t="inlineStr">
        <is>
          <t>XL</t>
        </is>
      </c>
      <c r="I1414" s="0">
        <v>75</v>
      </c>
      <c r="J1414" s="0">
        <v>4</v>
      </c>
    </row>
    <row r="1415" spans="1:10" customHeight="0">
      <c r="A1415" s="0">
        <f>HYPERLINK("https://dl.dropboxusercontent.com/scl/fi/9kv9q1d4v3avsvn1tadt2/153088-ia-champion-womens-polo-f.jpg?rlkey=jhkghgk6ghc90ys4jul4tupid&amp;dl=0","Click to download Image")</f>
      </c>
      <c r="B1415" s="0">
        <f>HYPERLINK("https://dl.dropboxusercontent.com/scl/fi/0ui82dczx0wuq1qy6llyh/womens-polo-size-chartsfleet.jpg?rlkey=uyqgnoz9ua16x09d1eti2wof4&amp;dl=0","Click to download SizeChart")</f>
      </c>
      <c r="C1415" s="0" t="inlineStr">
        <is>
          <t>Fast Break Fleet Women's Polo</t>
        </is>
      </c>
      <c r="D1415" s="1">
        <v>153088</v>
      </c>
      <c r="E1415" s="0" t="inlineStr">
        <is>
          <t>IOWA FLEET W BK:153088E-2XL</t>
        </is>
      </c>
      <c r="F1415" s="2">
        <v>800153088081</v>
      </c>
      <c r="G1415" s="0" t="inlineStr">
        <is>
          <t>WOMENS</t>
        </is>
      </c>
      <c r="H1415" s="0" t="inlineStr">
        <is>
          <t>2XL</t>
        </is>
      </c>
      <c r="I1415" s="0">
        <v>75</v>
      </c>
      <c r="J1415" s="0">
        <v>3</v>
      </c>
    </row>
    <row r="1416" spans="1:10" customHeight="0">
      <c r="A1416" s="0">
        <f>HYPERLINK("https://dl.dropboxusercontent.com/scl/fi/9kv9q1d4v3avsvn1tadt2/153088-ia-champion-womens-polo-f.jpg?rlkey=jhkghgk6ghc90ys4jul4tupid&amp;dl=0","Click to download Image")</f>
      </c>
      <c r="B1416" s="0">
        <f>HYPERLINK("https://dl.dropboxusercontent.com/scl/fi/0ui82dczx0wuq1qy6llyh/womens-polo-size-chartsfleet.jpg?rlkey=uyqgnoz9ua16x09d1eti2wof4&amp;dl=0","Click to download SizeChart")</f>
      </c>
      <c r="C1416" s="0" t="inlineStr">
        <is>
          <t>Fast Break Fleet Women's Polo</t>
        </is>
      </c>
      <c r="D1416" s="1">
        <v>153088</v>
      </c>
      <c r="E1416" s="0" t="inlineStr">
        <is>
          <t>IOWA FLEET W BK:153088F-3XL</t>
        </is>
      </c>
      <c r="F1416" s="2">
        <v>800153088098</v>
      </c>
      <c r="G1416" s="0" t="inlineStr">
        <is>
          <t>WOMENS</t>
        </is>
      </c>
      <c r="H1416" s="0" t="inlineStr">
        <is>
          <t>3XL</t>
        </is>
      </c>
      <c r="I1416" s="0">
        <v>75</v>
      </c>
      <c r="J1416" s="0">
        <v>2</v>
      </c>
    </row>
    <row r="1417" spans="1:10" customHeight="0">
      <c r="A1417" s="0">
        <f>HYPERLINK("https://dl.dropboxusercontent.com/scl/fi/qv5z7t2f5ptq0e6kfurly/153083-ia-jump-basketball-jersey-youth-f.jpg?rlkey=im5vk8fznflcms48e26srkeqn&amp;dl=0","Click to download Image")</f>
      </c>
      <c r="B1417" s="0">
        <f>HYPERLINK("https://dl.dropboxusercontent.com/scl/fi/cduu5fjzve51bxa0r0ns6/jersey-size-charts-champ-youth.jpg?rlkey=in9dw50rl0ed67zfkzkrhyr62&amp;dl=0","Click to download SizeChart")</f>
      </c>
      <c r="C1417" s="0" t="inlineStr">
        <is>
          <t>Iowa Jump Ball Youth Jersey</t>
        </is>
      </c>
      <c r="D1417" s="1">
        <v>153083</v>
      </c>
      <c r="E1417" s="0" t="inlineStr">
        <is>
          <t>IOWA JUMP Y BK:153083B-YS</t>
        </is>
      </c>
      <c r="F1417" s="2">
        <v>800153083017</v>
      </c>
      <c r="G1417" s="0" t="inlineStr">
        <is>
          <t>YOUTH</t>
        </is>
      </c>
      <c r="H1417" s="0" t="inlineStr">
        <is>
          <t>YS</t>
        </is>
      </c>
      <c r="I1417" s="0">
        <v>100</v>
      </c>
      <c r="J1417" s="0">
        <v>16</v>
      </c>
    </row>
    <row r="1418" spans="1:10" customHeight="0">
      <c r="A1418" s="0">
        <f>HYPERLINK("https://dl.dropboxusercontent.com/scl/fi/qv5z7t2f5ptq0e6kfurly/153083-ia-jump-basketball-jersey-youth-f.jpg?rlkey=im5vk8fznflcms48e26srkeqn&amp;dl=0","Click to download Image")</f>
      </c>
      <c r="B1418" s="0">
        <f>HYPERLINK("https://dl.dropboxusercontent.com/scl/fi/cduu5fjzve51bxa0r0ns6/jersey-size-charts-champ-youth.jpg?rlkey=in9dw50rl0ed67zfkzkrhyr62&amp;dl=0","Click to download SizeChart")</f>
      </c>
      <c r="C1418" s="0" t="inlineStr">
        <is>
          <t>Iowa Jump Ball Youth Jersey</t>
        </is>
      </c>
      <c r="D1418" s="1">
        <v>153083</v>
      </c>
      <c r="E1418" s="0" t="inlineStr">
        <is>
          <t>IOWA JUMP Y BK:153083C-YM</t>
        </is>
      </c>
      <c r="F1418" s="2">
        <v>800153083024</v>
      </c>
      <c r="G1418" s="0" t="inlineStr">
        <is>
          <t>YOUTH</t>
        </is>
      </c>
      <c r="H1418" s="0" t="inlineStr">
        <is>
          <t>YM</t>
        </is>
      </c>
      <c r="I1418" s="0">
        <v>100</v>
      </c>
      <c r="J1418" s="0">
        <v>9</v>
      </c>
    </row>
    <row r="1419" spans="1:10" customHeight="0">
      <c r="A1419" s="0">
        <f>HYPERLINK("https://dl.dropboxusercontent.com/scl/fi/qv5z7t2f5ptq0e6kfurly/153083-ia-jump-basketball-jersey-youth-f.jpg?rlkey=im5vk8fznflcms48e26srkeqn&amp;dl=0","Click to download Image")</f>
      </c>
      <c r="B1419" s="0">
        <f>HYPERLINK("https://dl.dropboxusercontent.com/scl/fi/cduu5fjzve51bxa0r0ns6/jersey-size-charts-champ-youth.jpg?rlkey=in9dw50rl0ed67zfkzkrhyr62&amp;dl=0","Click to download SizeChart")</f>
      </c>
      <c r="C1419" s="0" t="inlineStr">
        <is>
          <t>Iowa Jump Ball Youth Jersey</t>
        </is>
      </c>
      <c r="D1419" s="1">
        <v>153083</v>
      </c>
      <c r="E1419" s="0" t="inlineStr">
        <is>
          <t>IOWA JUMP Y BK:153083D-YL</t>
        </is>
      </c>
      <c r="F1419" s="2">
        <v>800153083031</v>
      </c>
      <c r="G1419" s="0" t="inlineStr">
        <is>
          <t>YOUTH</t>
        </is>
      </c>
      <c r="H1419" s="0" t="inlineStr">
        <is>
          <t>YL</t>
        </is>
      </c>
      <c r="I1419" s="0">
        <v>100</v>
      </c>
      <c r="J1419" s="0">
        <v>11</v>
      </c>
    </row>
    <row r="1420" spans="1:10" customHeight="0">
      <c r="A1420" s="0">
        <f>HYPERLINK("https://dl.dropboxusercontent.com/scl/fi/qv5z7t2f5ptq0e6kfurly/153083-ia-jump-basketball-jersey-youth-f.jpg?rlkey=im5vk8fznflcms48e26srkeqn&amp;dl=0","Click to download Image")</f>
      </c>
      <c r="B1420" s="0">
        <f>HYPERLINK("https://dl.dropboxusercontent.com/scl/fi/cduu5fjzve51bxa0r0ns6/jersey-size-charts-champ-youth.jpg?rlkey=in9dw50rl0ed67zfkzkrhyr62&amp;dl=0","Click to download SizeChart")</f>
      </c>
      <c r="C1420" s="0" t="inlineStr">
        <is>
          <t>Iowa Jump Ball Youth Jersey</t>
        </is>
      </c>
      <c r="D1420" s="1">
        <v>153083</v>
      </c>
      <c r="E1420" s="0" t="inlineStr">
        <is>
          <t>IOWA JUMP Y BK:153083E-YXL</t>
        </is>
      </c>
      <c r="F1420" s="2">
        <v>800153083048</v>
      </c>
      <c r="G1420" s="0" t="inlineStr">
        <is>
          <t>YOUTH</t>
        </is>
      </c>
      <c r="H1420" s="0" t="inlineStr">
        <is>
          <t>YXL</t>
        </is>
      </c>
      <c r="I1420" s="0">
        <v>100</v>
      </c>
      <c r="J1420" s="0">
        <v>8</v>
      </c>
    </row>
    <row r="1421" spans="1:10" customHeight="0">
      <c r="A1421" s="0">
        <f>HYPERLINK("https://dl.dropboxusercontent.com/scl/fi/mk773gi53pt8nqazl0mw0/153084-ia-jump-basketball-jersey-f.jpg?rlkey=9bbhmc0j5thyn2o1sc1epg5pw&amp;dl=0","Click to download Image")</f>
      </c>
      <c r="B1421" s="0">
        <f>HYPERLINK("https://dl.dropboxusercontent.com/scl/fi/4irttb2m38schash59u0p/jersey-size-chartsbasketball-champ.jpg?rlkey=py76ki3hgh3gnudmeut7iy7j3&amp;dl=0","Click to download SizeChart")</f>
      </c>
      <c r="C1421" s="0" t="inlineStr">
        <is>
          <t>Iowa Jump Ball Men's Jersey</t>
        </is>
      </c>
      <c r="D1421" s="1">
        <v>153084</v>
      </c>
      <c r="E1421" s="0" t="inlineStr">
        <is>
          <t>IOWA JUMP M BK:153084A-S</t>
        </is>
      </c>
      <c r="F1421" s="2">
        <v>800153084045</v>
      </c>
      <c r="G1421" s="0" t="inlineStr">
        <is>
          <t>MENS</t>
        </is>
      </c>
      <c r="H1421" s="0" t="inlineStr">
        <is>
          <t>S</t>
        </is>
      </c>
      <c r="I1421" s="0">
        <v>100</v>
      </c>
      <c r="J1421" s="0">
        <v>5</v>
      </c>
    </row>
    <row r="1422" spans="1:10" customHeight="0">
      <c r="A1422" s="0">
        <f>HYPERLINK("https://dl.dropboxusercontent.com/scl/fi/mk773gi53pt8nqazl0mw0/153084-ia-jump-basketball-jersey-f.jpg?rlkey=9bbhmc0j5thyn2o1sc1epg5pw&amp;dl=0","Click to download Image")</f>
      </c>
      <c r="B1422" s="0">
        <f>HYPERLINK("https://dl.dropboxusercontent.com/scl/fi/4irttb2m38schash59u0p/jersey-size-chartsbasketball-champ.jpg?rlkey=py76ki3hgh3gnudmeut7iy7j3&amp;dl=0","Click to download SizeChart")</f>
      </c>
      <c r="C1422" s="0" t="inlineStr">
        <is>
          <t>Iowa Jump Ball Men's Jersey</t>
        </is>
      </c>
      <c r="D1422" s="1">
        <v>153084</v>
      </c>
      <c r="E1422" s="0" t="inlineStr">
        <is>
          <t>IOWA JUMP M BK:153084B-M</t>
        </is>
      </c>
      <c r="F1422" s="2">
        <v>800153084052</v>
      </c>
      <c r="G1422" s="0" t="inlineStr">
        <is>
          <t>MENS</t>
        </is>
      </c>
      <c r="H1422" s="0" t="inlineStr">
        <is>
          <t>M</t>
        </is>
      </c>
      <c r="I1422" s="0">
        <v>100</v>
      </c>
      <c r="J1422" s="0">
        <v>8</v>
      </c>
    </row>
    <row r="1423" spans="1:10" customHeight="0">
      <c r="A1423" s="0">
        <f>HYPERLINK("https://dl.dropboxusercontent.com/scl/fi/mk773gi53pt8nqazl0mw0/153084-ia-jump-basketball-jersey-f.jpg?rlkey=9bbhmc0j5thyn2o1sc1epg5pw&amp;dl=0","Click to download Image")</f>
      </c>
      <c r="B1423" s="0">
        <f>HYPERLINK("https://dl.dropboxusercontent.com/scl/fi/4irttb2m38schash59u0p/jersey-size-chartsbasketball-champ.jpg?rlkey=py76ki3hgh3gnudmeut7iy7j3&amp;dl=0","Click to download SizeChart")</f>
      </c>
      <c r="C1423" s="0" t="inlineStr">
        <is>
          <t>Iowa Jump Ball Men's Jersey</t>
        </is>
      </c>
      <c r="D1423" s="1">
        <v>153084</v>
      </c>
      <c r="E1423" s="0" t="inlineStr">
        <is>
          <t>IOWA JUMP M BK:153084C-L</t>
        </is>
      </c>
      <c r="F1423" s="2">
        <v>800153084069</v>
      </c>
      <c r="G1423" s="0" t="inlineStr">
        <is>
          <t>MENS</t>
        </is>
      </c>
      <c r="H1423" s="0" t="inlineStr">
        <is>
          <t>L</t>
        </is>
      </c>
      <c r="I1423" s="0">
        <v>100</v>
      </c>
      <c r="J1423" s="0">
        <v>14</v>
      </c>
    </row>
    <row r="1424" spans="1:10" customHeight="0">
      <c r="A1424" s="0">
        <f>HYPERLINK("https://dl.dropboxusercontent.com/scl/fi/mk773gi53pt8nqazl0mw0/153084-ia-jump-basketball-jersey-f.jpg?rlkey=9bbhmc0j5thyn2o1sc1epg5pw&amp;dl=0","Click to download Image")</f>
      </c>
      <c r="B1424" s="0">
        <f>HYPERLINK("https://dl.dropboxusercontent.com/scl/fi/4irttb2m38schash59u0p/jersey-size-chartsbasketball-champ.jpg?rlkey=py76ki3hgh3gnudmeut7iy7j3&amp;dl=0","Click to download SizeChart")</f>
      </c>
      <c r="C1424" s="0" t="inlineStr">
        <is>
          <t>Iowa Jump Ball Men's Jersey</t>
        </is>
      </c>
      <c r="D1424" s="1">
        <v>153084</v>
      </c>
      <c r="E1424" s="0" t="inlineStr">
        <is>
          <t>IOWA JUMP M BK:153084D-XL</t>
        </is>
      </c>
      <c r="F1424" s="2">
        <v>800153084076</v>
      </c>
      <c r="G1424" s="0" t="inlineStr">
        <is>
          <t>MENS</t>
        </is>
      </c>
      <c r="H1424" s="0" t="inlineStr">
        <is>
          <t>XL</t>
        </is>
      </c>
      <c r="I1424" s="0">
        <v>100</v>
      </c>
      <c r="J1424" s="0">
        <v>14</v>
      </c>
    </row>
    <row r="1425" spans="1:10" customHeight="0">
      <c r="A1425" s="0">
        <f>HYPERLINK("https://dl.dropboxusercontent.com/scl/fi/mk773gi53pt8nqazl0mw0/153084-ia-jump-basketball-jersey-f.jpg?rlkey=9bbhmc0j5thyn2o1sc1epg5pw&amp;dl=0","Click to download Image")</f>
      </c>
      <c r="B1425" s="0">
        <f>HYPERLINK("https://dl.dropboxusercontent.com/scl/fi/4irttb2m38schash59u0p/jersey-size-chartsbasketball-champ.jpg?rlkey=py76ki3hgh3gnudmeut7iy7j3&amp;dl=0","Click to download SizeChart")</f>
      </c>
      <c r="C1425" s="0" t="inlineStr">
        <is>
          <t>Iowa Jump Ball Men's Jersey</t>
        </is>
      </c>
      <c r="D1425" s="1">
        <v>153084</v>
      </c>
      <c r="E1425" s="0" t="inlineStr">
        <is>
          <t>IOWA JUMP M BK:153084E-2XL</t>
        </is>
      </c>
      <c r="F1425" s="2">
        <v>800153084083</v>
      </c>
      <c r="G1425" s="0" t="inlineStr">
        <is>
          <t>MENS</t>
        </is>
      </c>
      <c r="H1425" s="0" t="inlineStr">
        <is>
          <t>2XL</t>
        </is>
      </c>
      <c r="I1425" s="0">
        <v>100</v>
      </c>
      <c r="J1425" s="0">
        <v>5</v>
      </c>
    </row>
    <row r="1426" spans="1:10" customHeight="0">
      <c r="A1426" s="0">
        <f>HYPERLINK("https://dl.dropboxusercontent.com/scl/fi/mk773gi53pt8nqazl0mw0/153084-ia-jump-basketball-jersey-f.jpg?rlkey=9bbhmc0j5thyn2o1sc1epg5pw&amp;dl=0","Click to download Image")</f>
      </c>
      <c r="B1426" s="0">
        <f>HYPERLINK("https://dl.dropboxusercontent.com/scl/fi/4irttb2m38schash59u0p/jersey-size-chartsbasketball-champ.jpg?rlkey=py76ki3hgh3gnudmeut7iy7j3&amp;dl=0","Click to download SizeChart")</f>
      </c>
      <c r="C1426" s="0" t="inlineStr">
        <is>
          <t>Iowa Jump Ball Men's Jersey</t>
        </is>
      </c>
      <c r="D1426" s="1">
        <v>153084</v>
      </c>
      <c r="E1426" s="0" t="inlineStr">
        <is>
          <t>IOWA JUMP M BK:153084F-3XL</t>
        </is>
      </c>
      <c r="F1426" s="2">
        <v>800153084090</v>
      </c>
      <c r="G1426" s="0" t="inlineStr">
        <is>
          <t>MENS</t>
        </is>
      </c>
      <c r="H1426" s="0" t="inlineStr">
        <is>
          <t>3XL</t>
        </is>
      </c>
      <c r="I1426" s="0">
        <v>100</v>
      </c>
      <c r="J1426" s="0">
        <v>3</v>
      </c>
    </row>
    <row r="1427" spans="1:10" customHeight="0">
      <c r="A1427" s="0">
        <f>HYPERLINK("https://dl.dropboxusercontent.com/scl/fi/pa75rcl6ko9oftbcqy5hl/iowa17319.jpg?rlkey=ars5ph2542i4lid0zs5we22ir&amp;dl=0","Click to download Image")</f>
      </c>
      <c r="B1427" s="0">
        <f>HYPERLINK("https://dl.dropboxusercontent.com/scl/fi/xd3qoia82rcvehc37ps2j/mens-hoodie-size-chartsorlean.jpg?rlkey=872jdl32jir8n9o327x8lnwdl&amp;dl=0","Click to download SizeChart")</f>
      </c>
      <c r="C1427" s="0" t="inlineStr">
        <is>
          <t>Orlean Hooded T-Shirt</t>
        </is>
      </c>
      <c r="D1427" s="1">
        <v>141267</v>
      </c>
      <c r="E1427" s="0" t="inlineStr">
        <is>
          <t>IOWA ORLEAN M GY:141267A-S</t>
        </is>
      </c>
      <c r="F1427" s="2">
        <v>800141267047</v>
      </c>
      <c r="G1427" s="0" t="inlineStr">
        <is>
          <t>MENS</t>
        </is>
      </c>
      <c r="H1427" s="0" t="inlineStr">
        <is>
          <t>S</t>
        </is>
      </c>
      <c r="I1427" s="0">
        <v>39.99</v>
      </c>
      <c r="J1427" s="0">
        <v>0</v>
      </c>
    </row>
    <row r="1428" spans="1:10" customHeight="0">
      <c r="A1428" s="0">
        <f>HYPERLINK("https://dl.dropboxusercontent.com/scl/fi/pa75rcl6ko9oftbcqy5hl/iowa17319.jpg?rlkey=ars5ph2542i4lid0zs5we22ir&amp;dl=0","Click to download Image")</f>
      </c>
      <c r="B1428" s="0">
        <f>HYPERLINK("https://dl.dropboxusercontent.com/scl/fi/xd3qoia82rcvehc37ps2j/mens-hoodie-size-chartsorlean.jpg?rlkey=872jdl32jir8n9o327x8lnwdl&amp;dl=0","Click to download SizeChart")</f>
      </c>
      <c r="C1428" s="0" t="inlineStr">
        <is>
          <t>Orlean Hooded T-Shirt</t>
        </is>
      </c>
      <c r="D1428" s="1">
        <v>141267</v>
      </c>
      <c r="E1428" s="0" t="inlineStr">
        <is>
          <t>IOWA ORLEAN M GY:141267B-M</t>
        </is>
      </c>
      <c r="F1428" s="2">
        <v>800141267054</v>
      </c>
      <c r="G1428" s="0" t="inlineStr">
        <is>
          <t>MENS</t>
        </is>
      </c>
      <c r="H1428" s="0" t="inlineStr">
        <is>
          <t>M</t>
        </is>
      </c>
      <c r="I1428" s="0">
        <v>39.99</v>
      </c>
      <c r="J1428" s="0">
        <v>0</v>
      </c>
    </row>
    <row r="1429" spans="1:10" customHeight="0">
      <c r="A1429" s="0">
        <f>HYPERLINK("https://dl.dropboxusercontent.com/scl/fi/pa75rcl6ko9oftbcqy5hl/iowa17319.jpg?rlkey=ars5ph2542i4lid0zs5we22ir&amp;dl=0","Click to download Image")</f>
      </c>
      <c r="B1429" s="0">
        <f>HYPERLINK("https://dl.dropboxusercontent.com/scl/fi/xd3qoia82rcvehc37ps2j/mens-hoodie-size-chartsorlean.jpg?rlkey=872jdl32jir8n9o327x8lnwdl&amp;dl=0","Click to download SizeChart")</f>
      </c>
      <c r="C1429" s="0" t="inlineStr">
        <is>
          <t>Orlean Hooded T-Shirt</t>
        </is>
      </c>
      <c r="D1429" s="1">
        <v>141267</v>
      </c>
      <c r="E1429" s="0" t="inlineStr">
        <is>
          <t>IOWA ORLEAN M GY:141267C-L</t>
        </is>
      </c>
      <c r="F1429" s="2">
        <v>800141267061</v>
      </c>
      <c r="G1429" s="0" t="inlineStr">
        <is>
          <t>MENS</t>
        </is>
      </c>
      <c r="H1429" s="0" t="inlineStr">
        <is>
          <t>L</t>
        </is>
      </c>
      <c r="I1429" s="0">
        <v>39.99</v>
      </c>
      <c r="J1429" s="0">
        <v>0</v>
      </c>
    </row>
    <row r="1430" spans="1:10" customHeight="0">
      <c r="A1430" s="0">
        <f>HYPERLINK("https://dl.dropboxusercontent.com/scl/fi/pa75rcl6ko9oftbcqy5hl/iowa17319.jpg?rlkey=ars5ph2542i4lid0zs5we22ir&amp;dl=0","Click to download Image")</f>
      </c>
      <c r="B1430" s="0">
        <f>HYPERLINK("https://dl.dropboxusercontent.com/scl/fi/xd3qoia82rcvehc37ps2j/mens-hoodie-size-chartsorlean.jpg?rlkey=872jdl32jir8n9o327x8lnwdl&amp;dl=0","Click to download SizeChart")</f>
      </c>
      <c r="C1430" s="0" t="inlineStr">
        <is>
          <t>Orlean Hooded T-Shirt</t>
        </is>
      </c>
      <c r="D1430" s="1">
        <v>141267</v>
      </c>
      <c r="E1430" s="0" t="inlineStr">
        <is>
          <t>IOWA ORLEAN M GY:141267D-XL</t>
        </is>
      </c>
      <c r="F1430" s="2">
        <v>800141267078</v>
      </c>
      <c r="G1430" s="0" t="inlineStr">
        <is>
          <t>MENS</t>
        </is>
      </c>
      <c r="H1430" s="0" t="inlineStr">
        <is>
          <t>XL</t>
        </is>
      </c>
      <c r="I1430" s="0">
        <v>39.99</v>
      </c>
      <c r="J1430" s="0">
        <v>0</v>
      </c>
    </row>
    <row r="1431" spans="1:10" customHeight="0">
      <c r="A1431" s="0">
        <f>HYPERLINK("https://dl.dropboxusercontent.com/scl/fi/pa75rcl6ko9oftbcqy5hl/iowa17319.jpg?rlkey=ars5ph2542i4lid0zs5we22ir&amp;dl=0","Click to download Image")</f>
      </c>
      <c r="B1431" s="0">
        <f>HYPERLINK("https://dl.dropboxusercontent.com/scl/fi/xd3qoia82rcvehc37ps2j/mens-hoodie-size-chartsorlean.jpg?rlkey=872jdl32jir8n9o327x8lnwdl&amp;dl=0","Click to download SizeChart")</f>
      </c>
      <c r="C1431" s="0" t="inlineStr">
        <is>
          <t>Orlean Hooded T-Shirt</t>
        </is>
      </c>
      <c r="D1431" s="1">
        <v>141267</v>
      </c>
      <c r="E1431" s="0" t="inlineStr">
        <is>
          <t>IOWA ORLEAN M GY:141267E-2XL</t>
        </is>
      </c>
      <c r="F1431" s="2">
        <v>800141267085</v>
      </c>
      <c r="G1431" s="0" t="inlineStr">
        <is>
          <t>MENS</t>
        </is>
      </c>
      <c r="H1431" s="0" t="inlineStr">
        <is>
          <t>2XL</t>
        </is>
      </c>
      <c r="I1431" s="0">
        <v>39.99</v>
      </c>
      <c r="J1431" s="0">
        <v>2</v>
      </c>
    </row>
    <row r="1432" spans="1:10" customHeight="0">
      <c r="A1432" s="0">
        <f>HYPERLINK("https://dl.dropboxusercontent.com/scl/fi/pa75rcl6ko9oftbcqy5hl/iowa17319.jpg?rlkey=ars5ph2542i4lid0zs5we22ir&amp;dl=0","Click to download Image")</f>
      </c>
      <c r="B1432" s="0">
        <f>HYPERLINK("https://dl.dropboxusercontent.com/scl/fi/xd3qoia82rcvehc37ps2j/mens-hoodie-size-chartsorlean.jpg?rlkey=872jdl32jir8n9o327x8lnwdl&amp;dl=0","Click to download SizeChart")</f>
      </c>
      <c r="C1432" s="0" t="inlineStr">
        <is>
          <t>Orlean Hooded T-Shirt</t>
        </is>
      </c>
      <c r="D1432" s="1">
        <v>141267</v>
      </c>
      <c r="E1432" s="0" t="inlineStr">
        <is>
          <t>IOWA ORLEAN M GY:141267F-3XL</t>
        </is>
      </c>
      <c r="F1432" s="2">
        <v>800141267092</v>
      </c>
      <c r="G1432" s="0" t="inlineStr">
        <is>
          <t>MENS</t>
        </is>
      </c>
      <c r="H1432" s="0" t="inlineStr">
        <is>
          <t>3XL</t>
        </is>
      </c>
      <c r="I1432" s="0">
        <v>39.99</v>
      </c>
      <c r="J1432" s="0">
        <v>0</v>
      </c>
    </row>
    <row r="1433" spans="1:10" customHeight="0">
      <c r="A1433" s="0">
        <f>HYPERLINK("https://dl.dropboxusercontent.com/scl/fi/pa75rcl6ko9oftbcqy5hl/iowa17319.jpg?rlkey=ars5ph2542i4lid0zs5we22ir&amp;dl=0","Click to download Image")</f>
      </c>
      <c r="B1433" s="0">
        <f>HYPERLINK("https://dl.dropboxusercontent.com/scl/fi/xd3qoia82rcvehc37ps2j/mens-hoodie-size-chartsorlean.jpg?rlkey=872jdl32jir8n9o327x8lnwdl&amp;dl=0","Click to download SizeChart")</f>
      </c>
      <c r="C1433" s="0" t="inlineStr">
        <is>
          <t>Orlean Hooded T-Shirt</t>
        </is>
      </c>
      <c r="D1433" s="1">
        <v>141267</v>
      </c>
      <c r="E1433" s="0" t="inlineStr">
        <is>
          <t>IOWA ORLEAN M GY:141267Z-12PK</t>
        </is>
      </c>
      <c r="F1433" s="2">
        <v>800141267993</v>
      </c>
      <c r="G1433" s="0" t="inlineStr">
        <is>
          <t>MENS</t>
        </is>
      </c>
      <c r="H1433" s="0" t="inlineStr">
        <is>
          <t>12 PACK</t>
        </is>
      </c>
      <c r="I1433" s="0">
        <v>388.7</v>
      </c>
      <c r="J1433" s="0">
        <v>0</v>
      </c>
    </row>
    <row r="1434" spans="1:10" customHeight="0">
      <c r="A1434" s="0">
        <f>HYPERLINK("https://dl.dropboxusercontent.com/scl/fi/zl03amb67rbcoj9r51tcg/virtual-garygrey-v01f.jpg?rlkey=xkvf2j8hmyku2riz9bm91lez5&amp;dl=0","Click to download Image")</f>
      </c>
      <c r="C1434" s="0" t="inlineStr">
        <is>
          <t>Gary Men's Sweatpants</t>
        </is>
      </c>
      <c r="D1434" s="1">
        <v>141293</v>
      </c>
      <c r="E1434" s="0" t="inlineStr">
        <is>
          <t>IOWA GARY M GY:141293A-S</t>
        </is>
      </c>
      <c r="F1434" s="2">
        <v>800141293015</v>
      </c>
      <c r="G1434" s="0" t="inlineStr">
        <is>
          <t>MENS</t>
        </is>
      </c>
      <c r="H1434" s="0" t="inlineStr">
        <is>
          <t>S</t>
        </is>
      </c>
      <c r="I1434" s="0">
        <v>39.99</v>
      </c>
      <c r="J1434" s="0">
        <v>1</v>
      </c>
    </row>
    <row r="1435" spans="1:10" customHeight="0">
      <c r="A1435" s="0">
        <f>HYPERLINK("https://dl.dropboxusercontent.com/scl/fi/zl03amb67rbcoj9r51tcg/virtual-garygrey-v01f.jpg?rlkey=xkvf2j8hmyku2riz9bm91lez5&amp;dl=0","Click to download Image")</f>
      </c>
      <c r="C1435" s="0" t="inlineStr">
        <is>
          <t>Gary Men's Sweatpants</t>
        </is>
      </c>
      <c r="D1435" s="1">
        <v>141293</v>
      </c>
      <c r="E1435" s="0" t="inlineStr">
        <is>
          <t>IOWA GARY M GY:141293B-M</t>
        </is>
      </c>
      <c r="F1435" s="2">
        <v>800141293022</v>
      </c>
      <c r="G1435" s="0" t="inlineStr">
        <is>
          <t>MENS</t>
        </is>
      </c>
      <c r="H1435" s="0" t="inlineStr">
        <is>
          <t>M</t>
        </is>
      </c>
      <c r="I1435" s="0">
        <v>39.99</v>
      </c>
      <c r="J1435" s="0">
        <v>0</v>
      </c>
    </row>
    <row r="1436" spans="1:10" customHeight="0">
      <c r="A1436" s="0">
        <f>HYPERLINK("https://dl.dropboxusercontent.com/scl/fi/zl03amb67rbcoj9r51tcg/virtual-garygrey-v01f.jpg?rlkey=xkvf2j8hmyku2riz9bm91lez5&amp;dl=0","Click to download Image")</f>
      </c>
      <c r="C1436" s="0" t="inlineStr">
        <is>
          <t>Gary Men's Sweatpants</t>
        </is>
      </c>
      <c r="D1436" s="1">
        <v>141293</v>
      </c>
      <c r="E1436" s="0" t="inlineStr">
        <is>
          <t>IOWA GARY M GY:141293C-L</t>
        </is>
      </c>
      <c r="F1436" s="2">
        <v>800141293039</v>
      </c>
      <c r="G1436" s="0" t="inlineStr">
        <is>
          <t>MENS</t>
        </is>
      </c>
      <c r="H1436" s="0" t="inlineStr">
        <is>
          <t>L</t>
        </is>
      </c>
      <c r="I1436" s="0">
        <v>39.99</v>
      </c>
      <c r="J1436" s="0">
        <v>13</v>
      </c>
    </row>
    <row r="1437" spans="1:10" customHeight="0">
      <c r="A1437" s="0">
        <f>HYPERLINK("https://dl.dropboxusercontent.com/scl/fi/zl03amb67rbcoj9r51tcg/virtual-garygrey-v01f.jpg?rlkey=xkvf2j8hmyku2riz9bm91lez5&amp;dl=0","Click to download Image")</f>
      </c>
      <c r="C1437" s="0" t="inlineStr">
        <is>
          <t>Gary Men's Sweatpants</t>
        </is>
      </c>
      <c r="D1437" s="1">
        <v>141293</v>
      </c>
      <c r="E1437" s="0" t="inlineStr">
        <is>
          <t>IOWA GARY M GY:141293D-XL</t>
        </is>
      </c>
      <c r="F1437" s="2">
        <v>800141293046</v>
      </c>
      <c r="G1437" s="0" t="inlineStr">
        <is>
          <t>MENS</t>
        </is>
      </c>
      <c r="H1437" s="0" t="inlineStr">
        <is>
          <t>XL</t>
        </is>
      </c>
      <c r="I1437" s="0">
        <v>39.99</v>
      </c>
      <c r="J1437" s="0">
        <v>15</v>
      </c>
    </row>
    <row r="1438" spans="1:10" customHeight="0">
      <c r="A1438" s="0">
        <f>HYPERLINK("https://dl.dropboxusercontent.com/scl/fi/zl03amb67rbcoj9r51tcg/virtual-garygrey-v01f.jpg?rlkey=xkvf2j8hmyku2riz9bm91lez5&amp;dl=0","Click to download Image")</f>
      </c>
      <c r="C1438" s="0" t="inlineStr">
        <is>
          <t>Gary Men's Sweatpants</t>
        </is>
      </c>
      <c r="D1438" s="1">
        <v>141293</v>
      </c>
      <c r="E1438" s="0" t="inlineStr">
        <is>
          <t>IOWA GARY M GY:141293E-2XL</t>
        </is>
      </c>
      <c r="F1438" s="2">
        <v>800141293053</v>
      </c>
      <c r="G1438" s="0" t="inlineStr">
        <is>
          <t>MENS</t>
        </is>
      </c>
      <c r="H1438" s="0" t="inlineStr">
        <is>
          <t>2XL</t>
        </is>
      </c>
      <c r="I1438" s="0">
        <v>41.99</v>
      </c>
      <c r="J1438" s="0">
        <v>10</v>
      </c>
    </row>
    <row r="1439" spans="1:10" customHeight="0">
      <c r="A1439" s="0">
        <f>HYPERLINK("https://dl.dropboxusercontent.com/scl/fi/zl03amb67rbcoj9r51tcg/virtual-garygrey-v01f.jpg?rlkey=xkvf2j8hmyku2riz9bm91lez5&amp;dl=0","Click to download Image")</f>
      </c>
      <c r="C1439" s="0" t="inlineStr">
        <is>
          <t>Gary Men's Sweatpants</t>
        </is>
      </c>
      <c r="D1439" s="1">
        <v>141293</v>
      </c>
      <c r="E1439" s="0" t="inlineStr">
        <is>
          <t>IOWA GARY M GY:141293F-3XL</t>
        </is>
      </c>
      <c r="F1439" s="2">
        <v>800141293060</v>
      </c>
      <c r="G1439" s="0" t="inlineStr">
        <is>
          <t>MENS</t>
        </is>
      </c>
      <c r="H1439" s="0" t="inlineStr">
        <is>
          <t>3XL</t>
        </is>
      </c>
      <c r="I1439" s="0">
        <v>41.99</v>
      </c>
      <c r="J1439" s="0">
        <v>0</v>
      </c>
    </row>
    <row r="1440" spans="1:10" customHeight="0">
      <c r="A1440" s="0">
        <f>HYPERLINK("https://dl.dropboxusercontent.com/scl/fi/j8wr6c44i0aok46ofr2tq/121122-f.jpg?rlkey=sqxfqrtnbqc6q0b2gfcyinb5o&amp;dl=0","Click to download Image")</f>
      </c>
      <c r="B1440" s="0">
        <f>HYPERLINK("https://dl.dropboxusercontent.com/scl/fi/w4gcvha54djy47kfp7ulk/womens-pullover-size-chartskinsley.jpg?rlkey=nxisakkvztxedjoxrucxcmdok&amp;dl=0","Click to download SizeChart")</f>
      </c>
      <c r="C1440" s="0" t="inlineStr">
        <is>
          <t>Kinsley Women's Sherpa Pullover</t>
        </is>
      </c>
      <c r="D1440" s="1">
        <v>121122</v>
      </c>
      <c r="E1440" s="0" t="inlineStr">
        <is>
          <t>IOWA KINSLE W FROSTED BLACK:121122A-S</t>
        </is>
      </c>
      <c r="F1440" s="2">
        <v>800121122045</v>
      </c>
      <c r="G1440" s="0" t="inlineStr">
        <is>
          <t>WOMENS</t>
        </is>
      </c>
      <c r="H1440" s="0" t="inlineStr">
        <is>
          <t>S</t>
        </is>
      </c>
      <c r="I1440" s="0">
        <v>59.99</v>
      </c>
      <c r="J1440" s="0">
        <v>4</v>
      </c>
    </row>
    <row r="1441" spans="1:10" customHeight="0">
      <c r="A1441" s="0">
        <f>HYPERLINK("https://dl.dropboxusercontent.com/scl/fi/j8wr6c44i0aok46ofr2tq/121122-f.jpg?rlkey=sqxfqrtnbqc6q0b2gfcyinb5o&amp;dl=0","Click to download Image")</f>
      </c>
      <c r="B1441" s="0">
        <f>HYPERLINK("https://dl.dropboxusercontent.com/scl/fi/w4gcvha54djy47kfp7ulk/womens-pullover-size-chartskinsley.jpg?rlkey=nxisakkvztxedjoxrucxcmdok&amp;dl=0","Click to download SizeChart")</f>
      </c>
      <c r="C1441" s="0" t="inlineStr">
        <is>
          <t>Kinsley Women's Sherpa Pullover</t>
        </is>
      </c>
      <c r="D1441" s="1">
        <v>121122</v>
      </c>
      <c r="E1441" s="0" t="inlineStr">
        <is>
          <t>IOWA KINSLE W FROSTED BLACK:121122B-M</t>
        </is>
      </c>
      <c r="F1441" s="2">
        <v>800121122052</v>
      </c>
      <c r="G1441" s="0" t="inlineStr">
        <is>
          <t>WOMENS</t>
        </is>
      </c>
      <c r="H1441" s="0" t="inlineStr">
        <is>
          <t>M</t>
        </is>
      </c>
      <c r="I1441" s="0">
        <v>59.99</v>
      </c>
      <c r="J1441" s="0">
        <v>24</v>
      </c>
    </row>
    <row r="1442" spans="1:10" customHeight="0">
      <c r="A1442" s="0">
        <f>HYPERLINK("https://dl.dropboxusercontent.com/scl/fi/j8wr6c44i0aok46ofr2tq/121122-f.jpg?rlkey=sqxfqrtnbqc6q0b2gfcyinb5o&amp;dl=0","Click to download Image")</f>
      </c>
      <c r="B1442" s="0">
        <f>HYPERLINK("https://dl.dropboxusercontent.com/scl/fi/w4gcvha54djy47kfp7ulk/womens-pullover-size-chartskinsley.jpg?rlkey=nxisakkvztxedjoxrucxcmdok&amp;dl=0","Click to download SizeChart")</f>
      </c>
      <c r="C1442" s="0" t="inlineStr">
        <is>
          <t>Kinsley Women's Sherpa Pullover</t>
        </is>
      </c>
      <c r="D1442" s="1">
        <v>121122</v>
      </c>
      <c r="E1442" s="0" t="inlineStr">
        <is>
          <t>IOWA KINSLE W FROSTED BLACK:121122C-L</t>
        </is>
      </c>
      <c r="F1442" s="2">
        <v>800121122069</v>
      </c>
      <c r="G1442" s="0" t="inlineStr">
        <is>
          <t>WOMENS</t>
        </is>
      </c>
      <c r="H1442" s="0" t="inlineStr">
        <is>
          <t>L</t>
        </is>
      </c>
      <c r="I1442" s="0">
        <v>59.99</v>
      </c>
      <c r="J1442" s="0">
        <v>25</v>
      </c>
    </row>
    <row r="1443" spans="1:10" customHeight="0">
      <c r="A1443" s="0">
        <f>HYPERLINK("https://dl.dropboxusercontent.com/scl/fi/j8wr6c44i0aok46ofr2tq/121122-f.jpg?rlkey=sqxfqrtnbqc6q0b2gfcyinb5o&amp;dl=0","Click to download Image")</f>
      </c>
      <c r="B1443" s="0">
        <f>HYPERLINK("https://dl.dropboxusercontent.com/scl/fi/w4gcvha54djy47kfp7ulk/womens-pullover-size-chartskinsley.jpg?rlkey=nxisakkvztxedjoxrucxcmdok&amp;dl=0","Click to download SizeChart")</f>
      </c>
      <c r="C1443" s="0" t="inlineStr">
        <is>
          <t>Kinsley Women's Sherpa Pullover</t>
        </is>
      </c>
      <c r="D1443" s="1">
        <v>121122</v>
      </c>
      <c r="E1443" s="0" t="inlineStr">
        <is>
          <t>IOWA KINSLE W FROSTED BLACK:121122D-XL</t>
        </is>
      </c>
      <c r="F1443" s="2">
        <v>800121122076</v>
      </c>
      <c r="G1443" s="0" t="inlineStr">
        <is>
          <t>WOMENS</t>
        </is>
      </c>
      <c r="H1443" s="0" t="inlineStr">
        <is>
          <t>XL</t>
        </is>
      </c>
      <c r="I1443" s="0">
        <v>59.99</v>
      </c>
      <c r="J1443" s="0">
        <v>6</v>
      </c>
    </row>
    <row r="1444" spans="1:10" customHeight="0">
      <c r="A1444" s="0">
        <f>HYPERLINK("https://dl.dropboxusercontent.com/scl/fi/j8wr6c44i0aok46ofr2tq/121122-f.jpg?rlkey=sqxfqrtnbqc6q0b2gfcyinb5o&amp;dl=0","Click to download Image")</f>
      </c>
      <c r="B1444" s="0">
        <f>HYPERLINK("https://dl.dropboxusercontent.com/scl/fi/w4gcvha54djy47kfp7ulk/womens-pullover-size-chartskinsley.jpg?rlkey=nxisakkvztxedjoxrucxcmdok&amp;dl=0","Click to download SizeChart")</f>
      </c>
      <c r="C1444" s="0" t="inlineStr">
        <is>
          <t>Kinsley Women's Sherpa Pullover</t>
        </is>
      </c>
      <c r="D1444" s="1">
        <v>121122</v>
      </c>
      <c r="E1444" s="0" t="inlineStr">
        <is>
          <t>IOWA KINSLE W FROSTED BLACK:121122E-2XL</t>
        </is>
      </c>
      <c r="F1444" s="2">
        <v>800121122083</v>
      </c>
      <c r="G1444" s="0" t="inlineStr">
        <is>
          <t>WOMENS</t>
        </is>
      </c>
      <c r="H1444" s="0" t="inlineStr">
        <is>
          <t>2XL</t>
        </is>
      </c>
      <c r="I1444" s="0">
        <v>61.99</v>
      </c>
      <c r="J1444" s="0">
        <v>4</v>
      </c>
    </row>
    <row r="1445" spans="1:10" customHeight="0">
      <c r="A1445" s="0">
        <f>HYPERLINK("https://dl.dropboxusercontent.com/scl/fi/j8wr6c44i0aok46ofr2tq/121122-f.jpg?rlkey=sqxfqrtnbqc6q0b2gfcyinb5o&amp;dl=0","Click to download Image")</f>
      </c>
      <c r="B1445" s="0">
        <f>HYPERLINK("https://dl.dropboxusercontent.com/scl/fi/w4gcvha54djy47kfp7ulk/womens-pullover-size-chartskinsley.jpg?rlkey=nxisakkvztxedjoxrucxcmdok&amp;dl=0","Click to download SizeChart")</f>
      </c>
      <c r="C1445" s="0" t="inlineStr">
        <is>
          <t>Kinsley Women's Sherpa Pullover</t>
        </is>
      </c>
      <c r="D1445" s="1">
        <v>121122</v>
      </c>
      <c r="E1445" s="0" t="inlineStr">
        <is>
          <t>IOWA KINSLE W FROSTED BLACK:121122F-3XL</t>
        </is>
      </c>
      <c r="F1445" s="2">
        <v>800121122090</v>
      </c>
      <c r="G1445" s="0" t="inlineStr">
        <is>
          <t>WOMENS</t>
        </is>
      </c>
      <c r="H1445" s="0" t="inlineStr">
        <is>
          <t>3XL</t>
        </is>
      </c>
      <c r="I1445" s="0">
        <v>61.99</v>
      </c>
      <c r="J1445" s="0">
        <v>4</v>
      </c>
    </row>
    <row r="1446" spans="1:10" customHeight="0">
      <c r="A1446" s="0">
        <f>HYPERLINK("https://dl.dropboxusercontent.com/scl/fi/j8wr6c44i0aok46ofr2tq/121122-f.jpg?rlkey=sqxfqrtnbqc6q0b2gfcyinb5o&amp;dl=0","Click to download Image")</f>
      </c>
      <c r="B1446" s="0">
        <f>HYPERLINK("https://dl.dropboxusercontent.com/scl/fi/w4gcvha54djy47kfp7ulk/womens-pullover-size-chartskinsley.jpg?rlkey=nxisakkvztxedjoxrucxcmdok&amp;dl=0","Click to download SizeChart")</f>
      </c>
      <c r="C1446" s="0" t="inlineStr">
        <is>
          <t>Kinsley Women's Sherpa Pullover</t>
        </is>
      </c>
      <c r="D1446" s="1">
        <v>121122</v>
      </c>
      <c r="E1446" s="0" t="inlineStr">
        <is>
          <t>IOWA KINSLE W FROSTED BLACK 12 PACK:121122Z-12PK</t>
        </is>
      </c>
      <c r="F1446" s="2">
        <v>800121122991</v>
      </c>
      <c r="G1446" s="0" t="inlineStr">
        <is>
          <t>WOMENS</t>
        </is>
      </c>
      <c r="H1446" s="0" t="inlineStr">
        <is>
          <t>12 PACK</t>
        </is>
      </c>
      <c r="I1446" s="0">
        <v>576</v>
      </c>
      <c r="J1446" s="0">
        <v>0</v>
      </c>
    </row>
    <row r="1447" spans="1:10" customHeight="0">
      <c r="A1447" s="0">
        <f>HYPERLINK("https://dl.dropboxusercontent.com/scl/fi/uafq1n1xqmk665nghons9/millie-1f20389.jpg?rlkey=zmx0p7qnjezaywec69eepwqeo&amp;dl=0","Click to download Image")</f>
      </c>
      <c r="B1447" s="0">
        <f>HYPERLINK("https://dl.dropboxusercontent.com/scl/fi/jzcnvducxpv4ziezzy5um/womens-t-shirt-size-chartsmillie.jpg?rlkey=kjx6spnbdwcop57lc9vccvi5o&amp;dl=0","Click to download SizeChart")</f>
      </c>
      <c r="C1447" s="0" t="inlineStr">
        <is>
          <t>Millie Rolled Sleeve Women's T-Shirt</t>
        </is>
      </c>
      <c r="D1447" s="1">
        <v>137550</v>
      </c>
      <c r="E1447" s="0" t="inlineStr">
        <is>
          <t>IOWA MILLIE W GD:137550AA-XS</t>
        </is>
      </c>
      <c r="F1447" s="2">
        <v>800137550030</v>
      </c>
      <c r="G1447" s="0" t="inlineStr">
        <is>
          <t>WOMENS</t>
        </is>
      </c>
      <c r="H1447" s="0" t="inlineStr">
        <is>
          <t>XS</t>
        </is>
      </c>
      <c r="I1447" s="0">
        <v>29.99</v>
      </c>
      <c r="J1447" s="0">
        <v>24</v>
      </c>
    </row>
    <row r="1448" spans="1:10" customHeight="0">
      <c r="A1448" s="0">
        <f>HYPERLINK("https://dl.dropboxusercontent.com/scl/fi/uafq1n1xqmk665nghons9/millie-1f20389.jpg?rlkey=zmx0p7qnjezaywec69eepwqeo&amp;dl=0","Click to download Image")</f>
      </c>
      <c r="B1448" s="0">
        <f>HYPERLINK("https://dl.dropboxusercontent.com/scl/fi/jzcnvducxpv4ziezzy5um/womens-t-shirt-size-chartsmillie.jpg?rlkey=kjx6spnbdwcop57lc9vccvi5o&amp;dl=0","Click to download SizeChart")</f>
      </c>
      <c r="C1448" s="0" t="inlineStr">
        <is>
          <t>Millie Rolled Sleeve Women's T-Shirt</t>
        </is>
      </c>
      <c r="D1448" s="1">
        <v>137550</v>
      </c>
      <c r="E1448" s="0" t="inlineStr">
        <is>
          <t>IOWA MILLIE W GD:137550A-S</t>
        </is>
      </c>
      <c r="F1448" s="2">
        <v>800137550047</v>
      </c>
      <c r="G1448" s="0" t="inlineStr">
        <is>
          <t>WOMENS</t>
        </is>
      </c>
      <c r="H1448" s="0" t="inlineStr">
        <is>
          <t>S</t>
        </is>
      </c>
      <c r="I1448" s="0">
        <v>29.99</v>
      </c>
      <c r="J1448" s="0">
        <v>21</v>
      </c>
    </row>
    <row r="1449" spans="1:10" customHeight="0">
      <c r="A1449" s="0">
        <f>HYPERLINK("https://dl.dropboxusercontent.com/scl/fi/uafq1n1xqmk665nghons9/millie-1f20389.jpg?rlkey=zmx0p7qnjezaywec69eepwqeo&amp;dl=0","Click to download Image")</f>
      </c>
      <c r="B1449" s="0">
        <f>HYPERLINK("https://dl.dropboxusercontent.com/scl/fi/jzcnvducxpv4ziezzy5um/womens-t-shirt-size-chartsmillie.jpg?rlkey=kjx6spnbdwcop57lc9vccvi5o&amp;dl=0","Click to download SizeChart")</f>
      </c>
      <c r="C1449" s="0" t="inlineStr">
        <is>
          <t>Millie Rolled Sleeve Women's T-Shirt</t>
        </is>
      </c>
      <c r="D1449" s="1">
        <v>137550</v>
      </c>
      <c r="E1449" s="0" t="inlineStr">
        <is>
          <t>IOWA MILLIE W GD:137550B-M</t>
        </is>
      </c>
      <c r="F1449" s="2">
        <v>800137550054</v>
      </c>
      <c r="G1449" s="0" t="inlineStr">
        <is>
          <t>WOMENS</t>
        </is>
      </c>
      <c r="H1449" s="0" t="inlineStr">
        <is>
          <t>M</t>
        </is>
      </c>
      <c r="I1449" s="0">
        <v>29.99</v>
      </c>
      <c r="J1449" s="0">
        <v>14</v>
      </c>
    </row>
    <row r="1450" spans="1:10" customHeight="0">
      <c r="A1450" s="0">
        <f>HYPERLINK("https://dl.dropboxusercontent.com/scl/fi/uafq1n1xqmk665nghons9/millie-1f20389.jpg?rlkey=zmx0p7qnjezaywec69eepwqeo&amp;dl=0","Click to download Image")</f>
      </c>
      <c r="B1450" s="0">
        <f>HYPERLINK("https://dl.dropboxusercontent.com/scl/fi/jzcnvducxpv4ziezzy5um/womens-t-shirt-size-chartsmillie.jpg?rlkey=kjx6spnbdwcop57lc9vccvi5o&amp;dl=0","Click to download SizeChart")</f>
      </c>
      <c r="C1450" s="0" t="inlineStr">
        <is>
          <t>Millie Rolled Sleeve Women's T-Shirt</t>
        </is>
      </c>
      <c r="D1450" s="1">
        <v>137550</v>
      </c>
      <c r="E1450" s="0" t="inlineStr">
        <is>
          <t>IOWA MILLIE W GD:137550C-L</t>
        </is>
      </c>
      <c r="F1450" s="2">
        <v>800137550061</v>
      </c>
      <c r="G1450" s="0" t="inlineStr">
        <is>
          <t>WOMENS</t>
        </is>
      </c>
      <c r="H1450" s="0" t="inlineStr">
        <is>
          <t>L</t>
        </is>
      </c>
      <c r="I1450" s="0">
        <v>29.99</v>
      </c>
      <c r="J1450" s="0">
        <v>0</v>
      </c>
    </row>
    <row r="1451" spans="1:10" customHeight="0">
      <c r="A1451" s="0">
        <f>HYPERLINK("https://dl.dropboxusercontent.com/scl/fi/uafq1n1xqmk665nghons9/millie-1f20389.jpg?rlkey=zmx0p7qnjezaywec69eepwqeo&amp;dl=0","Click to download Image")</f>
      </c>
      <c r="B1451" s="0">
        <f>HYPERLINK("https://dl.dropboxusercontent.com/scl/fi/jzcnvducxpv4ziezzy5um/womens-t-shirt-size-chartsmillie.jpg?rlkey=kjx6spnbdwcop57lc9vccvi5o&amp;dl=0","Click to download SizeChart")</f>
      </c>
      <c r="C1451" s="0" t="inlineStr">
        <is>
          <t>Millie Rolled Sleeve Women's T-Shirt</t>
        </is>
      </c>
      <c r="D1451" s="1">
        <v>137550</v>
      </c>
      <c r="E1451" s="0" t="inlineStr">
        <is>
          <t>IOWA MILLIE W GD:137550D-XL</t>
        </is>
      </c>
      <c r="F1451" s="2">
        <v>800137550078</v>
      </c>
      <c r="G1451" s="0" t="inlineStr">
        <is>
          <t>WOMENS</t>
        </is>
      </c>
      <c r="H1451" s="0" t="inlineStr">
        <is>
          <t>XL</t>
        </is>
      </c>
      <c r="I1451" s="0">
        <v>29.99</v>
      </c>
      <c r="J1451" s="0">
        <v>0</v>
      </c>
    </row>
    <row r="1452" spans="1:10" customHeight="0">
      <c r="A1452" s="0">
        <f>HYPERLINK("https://dl.dropboxusercontent.com/scl/fi/uafq1n1xqmk665nghons9/millie-1f20389.jpg?rlkey=zmx0p7qnjezaywec69eepwqeo&amp;dl=0","Click to download Image")</f>
      </c>
      <c r="B1452" s="0">
        <f>HYPERLINK("https://dl.dropboxusercontent.com/scl/fi/jzcnvducxpv4ziezzy5um/womens-t-shirt-size-chartsmillie.jpg?rlkey=kjx6spnbdwcop57lc9vccvi5o&amp;dl=0","Click to download SizeChart")</f>
      </c>
      <c r="C1452" s="0" t="inlineStr">
        <is>
          <t>Millie Rolled Sleeve Women's T-Shirt</t>
        </is>
      </c>
      <c r="D1452" s="1">
        <v>137550</v>
      </c>
      <c r="E1452" s="0" t="inlineStr">
        <is>
          <t>IOWA MILLIE W GD:137550E-2XL</t>
        </is>
      </c>
      <c r="F1452" s="2">
        <v>800137550085</v>
      </c>
      <c r="G1452" s="0" t="inlineStr">
        <is>
          <t>WOMENS</t>
        </is>
      </c>
      <c r="H1452" s="0" t="inlineStr">
        <is>
          <t>2XL</t>
        </is>
      </c>
      <c r="I1452" s="0">
        <v>29.99</v>
      </c>
      <c r="J1452" s="0">
        <v>2</v>
      </c>
    </row>
    <row r="1453" spans="1:10" customHeight="0">
      <c r="A1453" s="0">
        <f>HYPERLINK("https://dl.dropboxusercontent.com/scl/fi/uafq1n1xqmk665nghons9/millie-1f20389.jpg?rlkey=zmx0p7qnjezaywec69eepwqeo&amp;dl=0","Click to download Image")</f>
      </c>
      <c r="B1453" s="0">
        <f>HYPERLINK("https://dl.dropboxusercontent.com/scl/fi/jzcnvducxpv4ziezzy5um/womens-t-shirt-size-chartsmillie.jpg?rlkey=kjx6spnbdwcop57lc9vccvi5o&amp;dl=0","Click to download SizeChart")</f>
      </c>
      <c r="C1453" s="0" t="inlineStr">
        <is>
          <t>Millie Rolled Sleeve Women's T-Shirt</t>
        </is>
      </c>
      <c r="D1453" s="1">
        <v>137550</v>
      </c>
      <c r="E1453" s="0" t="inlineStr">
        <is>
          <t>IOWA MILLIE W GD:137550F-3XL</t>
        </is>
      </c>
      <c r="F1453" s="2">
        <v>800137550092</v>
      </c>
      <c r="G1453" s="0" t="inlineStr">
        <is>
          <t>WOMENS</t>
        </is>
      </c>
      <c r="H1453" s="0" t="inlineStr">
        <is>
          <t>3XL</t>
        </is>
      </c>
      <c r="I1453" s="0">
        <v>29.99</v>
      </c>
      <c r="J1453" s="0">
        <v>9</v>
      </c>
    </row>
    <row r="1454" spans="1:10" customHeight="0">
      <c r="A1454" s="0">
        <f>HYPERLINK("https://dl.dropboxusercontent.com/scl/fi/q5lly1oo6gdx38v2insho/kylo.jpg?rlkey=7sok7gzbfcx8c1bxemy2trrfr&amp;dl=0","Click to download Image")</f>
      </c>
      <c r="C1454" s="0" t="inlineStr">
        <is>
          <t>Kylo Infant Shirt</t>
        </is>
      </c>
      <c r="D1454" s="1">
        <v>121062</v>
      </c>
      <c r="E1454" s="0" t="inlineStr">
        <is>
          <t>IOWA KYLO I BLACK SET:121062A-0-3M</t>
        </is>
      </c>
      <c r="F1454" s="2">
        <v>800121062006</v>
      </c>
      <c r="G1454" s="0" t="inlineStr">
        <is>
          <t>INFANT</t>
        </is>
      </c>
      <c r="H1454" s="0" t="inlineStr">
        <is>
          <t>0-3M</t>
        </is>
      </c>
      <c r="I1454" s="0">
        <v>39.99</v>
      </c>
      <c r="J1454" s="0">
        <v>7</v>
      </c>
    </row>
    <row r="1455" spans="1:10" customHeight="0">
      <c r="A1455" s="0">
        <f>HYPERLINK("https://dl.dropboxusercontent.com/scl/fi/q5lly1oo6gdx38v2insho/kylo.jpg?rlkey=7sok7gzbfcx8c1bxemy2trrfr&amp;dl=0","Click to download Image")</f>
      </c>
      <c r="C1455" s="0" t="inlineStr">
        <is>
          <t>Kylo Infant Shirt</t>
        </is>
      </c>
      <c r="D1455" s="1">
        <v>121062</v>
      </c>
      <c r="E1455" s="0" t="inlineStr">
        <is>
          <t>IOWA KYLO I BLACK SET:121062B-3-6M</t>
        </is>
      </c>
      <c r="F1455" s="2">
        <v>800121062013</v>
      </c>
      <c r="G1455" s="0" t="inlineStr">
        <is>
          <t>INFANT</t>
        </is>
      </c>
      <c r="H1455" s="0" t="inlineStr">
        <is>
          <t>3-6M</t>
        </is>
      </c>
      <c r="I1455" s="0">
        <v>39.99</v>
      </c>
      <c r="J1455" s="0">
        <v>1</v>
      </c>
    </row>
    <row r="1456" spans="1:10" customHeight="0">
      <c r="A1456" s="0">
        <f>HYPERLINK("https://dl.dropboxusercontent.com/scl/fi/q5lly1oo6gdx38v2insho/kylo.jpg?rlkey=7sok7gzbfcx8c1bxemy2trrfr&amp;dl=0","Click to download Image")</f>
      </c>
      <c r="C1456" s="0" t="inlineStr">
        <is>
          <t>Kylo Infant Shirt</t>
        </is>
      </c>
      <c r="D1456" s="1">
        <v>121062</v>
      </c>
      <c r="E1456" s="0" t="inlineStr">
        <is>
          <t>IOWA KYLO I BLACK SET:121062C-6-9M</t>
        </is>
      </c>
      <c r="F1456" s="2">
        <v>800121062020</v>
      </c>
      <c r="G1456" s="0" t="inlineStr">
        <is>
          <t>INFANT</t>
        </is>
      </c>
      <c r="H1456" s="0" t="inlineStr">
        <is>
          <t>6-9M</t>
        </is>
      </c>
      <c r="I1456" s="0">
        <v>39.99</v>
      </c>
      <c r="J1456" s="0">
        <v>0</v>
      </c>
    </row>
    <row r="1457" spans="1:10" customHeight="0">
      <c r="A1457" s="0">
        <f>HYPERLINK("https://dl.dropboxusercontent.com/scl/fi/q5lly1oo6gdx38v2insho/kylo.jpg?rlkey=7sok7gzbfcx8c1bxemy2trrfr&amp;dl=0","Click to download Image")</f>
      </c>
      <c r="C1457" s="0" t="inlineStr">
        <is>
          <t>Kylo Infant Shirt</t>
        </is>
      </c>
      <c r="D1457" s="1">
        <v>121062</v>
      </c>
      <c r="E1457" s="0" t="inlineStr">
        <is>
          <t>IOWA KYLO I BLACK SET:121062F-12M</t>
        </is>
      </c>
      <c r="F1457" s="2">
        <v>800121062037</v>
      </c>
      <c r="G1457" s="0" t="inlineStr">
        <is>
          <t>INFANT</t>
        </is>
      </c>
      <c r="H1457" s="0" t="inlineStr">
        <is>
          <t>12M</t>
        </is>
      </c>
      <c r="I1457" s="0">
        <v>39.99</v>
      </c>
      <c r="J1457" s="0">
        <v>0</v>
      </c>
    </row>
    <row r="1458" spans="1:10" customHeight="0">
      <c r="A1458" s="0">
        <f>HYPERLINK("https://dl.dropboxusercontent.com/scl/fi/q5lly1oo6gdx38v2insho/kylo.jpg?rlkey=7sok7gzbfcx8c1bxemy2trrfr&amp;dl=0","Click to download Image")</f>
      </c>
      <c r="C1458" s="0" t="inlineStr">
        <is>
          <t>Kylo Infant Shirt</t>
        </is>
      </c>
      <c r="D1458" s="1">
        <v>121062</v>
      </c>
      <c r="E1458" s="0" t="inlineStr">
        <is>
          <t>IOWA KYLO I BLACK SET 12 PACK:121062Z-12PK</t>
        </is>
      </c>
      <c r="F1458" s="2">
        <v>800121062990</v>
      </c>
      <c r="G1458" s="0" t="inlineStr">
        <is>
          <t>INFANT</t>
        </is>
      </c>
      <c r="H1458" s="0" t="inlineStr">
        <is>
          <t>12 PACK</t>
        </is>
      </c>
      <c r="I1458" s="0">
        <v>384</v>
      </c>
      <c r="J1458" s="0">
        <v>0</v>
      </c>
    </row>
    <row r="1459" spans="1:10" customHeight="0">
      <c r="A1459" s="0">
        <f>HYPERLINK("https://dl.dropboxusercontent.com/scl/fi/wv2kwa6uhsd433x7pexok/editdsc1097crop.jpg?rlkey=z4b6na9n9q2g5uukf3r41jcfu&amp;dl=0","Click to download Image")</f>
      </c>
      <c r="C1459" s="0" t="inlineStr">
        <is>
          <t>Castle Men's Reversible Bucket Hat</t>
        </is>
      </c>
      <c r="D1459" s="1">
        <v>155384</v>
      </c>
      <c r="E1459" s="0" t="inlineStr">
        <is>
          <t>IOWA CASTLE A BK:155384</t>
        </is>
      </c>
      <c r="F1459" s="2">
        <v>700155384009</v>
      </c>
      <c r="G1459" s="0" t="inlineStr">
        <is>
          <t>MENS</t>
        </is>
      </c>
      <c r="H1459" s="0" t="inlineStr">
        <is>
          <t>STANDARD MENS</t>
        </is>
      </c>
      <c r="I1459" s="0">
        <v>29.99</v>
      </c>
      <c r="J1459" s="0">
        <v>28</v>
      </c>
    </row>
    <row r="1460" spans="1:10" customHeight="0">
      <c r="A1460" s="0">
        <f>HYPERLINK("https://dl.dropboxusercontent.com/scl/fi/eqjs7w1acv26mhcw5iz9t/cms-tn-07.jpg?rlkey=dhs0564uqbgoi84my8u7sug2a&amp;dl=0","Click to download Image")</f>
      </c>
      <c r="C1460" s="0" t="inlineStr">
        <is>
          <t>Maddox Signature Men's Rope Mesh Cap</t>
        </is>
      </c>
      <c r="D1460" s="1">
        <v>156824</v>
      </c>
      <c r="E1460" s="0" t="inlineStr">
        <is>
          <t>IOWA MADDOX A BK:156824</t>
        </is>
      </c>
      <c r="F1460" s="2">
        <v>700156824009</v>
      </c>
      <c r="G1460" s="0" t="inlineStr">
        <is>
          <t>MENS</t>
        </is>
      </c>
      <c r="H1460" s="0" t="inlineStr">
        <is>
          <t>STANDARD MENS</t>
        </is>
      </c>
      <c r="I1460" s="0">
        <v>34.99</v>
      </c>
      <c r="J1460" s="0">
        <v>55</v>
      </c>
    </row>
    <row r="1461" spans="1:10" customHeight="0">
      <c r="A1461" s="0">
        <f>HYPERLINK("https://dl.dropboxusercontent.com/scl/fi/luxx7jti2b213n2qt0cow/94276af60392.jpg?rlkey=ik3pdm8wr4h3hoj133qy2bik7&amp;dl=0","Click to download Image")</f>
      </c>
      <c r="C1461" s="0" t="inlineStr">
        <is>
          <t>Herky Youth Backpack</t>
        </is>
      </c>
      <c r="D1461" s="1">
        <v>94276</v>
      </c>
      <c r="E1461" s="0" t="inlineStr">
        <is>
          <t>HERKY BP:94276</t>
        </is>
      </c>
      <c r="F1461" s="2">
        <v>90009427601</v>
      </c>
      <c r="I1461" s="0">
        <v>19.99</v>
      </c>
      <c r="J1461" s="0">
        <v>107</v>
      </c>
    </row>
    <row r="1462" spans="1:10" customHeight="0">
      <c r="A1462" s="0">
        <f>HYPERLINK("https://dl.dropboxusercontent.com/scl/fi/6umsdepajzm27wkr7ru4f/cms-tn-06.jpg?rlkey=xqztmye53rc301u7o86rytka1&amp;dl=0","Click to download Image")</f>
      </c>
      <c r="C1462" s="0" t="inlineStr">
        <is>
          <t>Ezra Signature Men's Rope Cap</t>
        </is>
      </c>
      <c r="D1462" s="1">
        <v>155245</v>
      </c>
      <c r="E1462" s="0" t="inlineStr">
        <is>
          <t>IOWA EZRA A BK:155245</t>
        </is>
      </c>
      <c r="F1462" s="2">
        <v>700155245003</v>
      </c>
      <c r="G1462" s="0" t="inlineStr">
        <is>
          <t>MENS</t>
        </is>
      </c>
      <c r="H1462" s="0" t="inlineStr">
        <is>
          <t>STANDARD MENS</t>
        </is>
      </c>
      <c r="I1462" s="0">
        <v>39.99</v>
      </c>
      <c r="J1462" s="0">
        <v>141</v>
      </c>
    </row>
    <row r="1463" spans="1:10" customHeight="0">
      <c r="A1463" s="0">
        <f>HYPERLINK("https://dl.dropboxusercontent.com/scl/fi/lfeel8e3055fr81k5kkeu/beverly-133631t.jpg?rlkey=ktbcse1msxssmtn41chepzfm6&amp;dl=0","Click to download Image")</f>
      </c>
      <c r="B1463" s="0">
        <f>HYPERLINK("https://dl.dropboxusercontent.com/scl/fi/jsrh9vc97bezmns8i6476/womens-polo-size-chartsbeverly.jpg?rlkey=ko9f2dhg89u13wcitzl6tgih7&amp;dl=0","Click to download SizeChart")</f>
      </c>
      <c r="C1463" s="0" t="inlineStr">
        <is>
          <t>Beverly Women's Performance Polo</t>
        </is>
      </c>
      <c r="D1463" s="1">
        <v>133631</v>
      </c>
      <c r="E1463" s="0" t="inlineStr">
        <is>
          <t>IOWA BEVERL W DG:133631A-S</t>
        </is>
      </c>
      <c r="F1463" s="2">
        <v>800133631047</v>
      </c>
      <c r="G1463" s="0" t="inlineStr">
        <is>
          <t>WOMENS</t>
        </is>
      </c>
      <c r="H1463" s="0" t="inlineStr">
        <is>
          <t>S</t>
        </is>
      </c>
      <c r="I1463" s="0">
        <v>39.99</v>
      </c>
      <c r="J1463" s="0">
        <v>19</v>
      </c>
    </row>
    <row r="1464" spans="1:10" customHeight="0">
      <c r="A1464" s="0">
        <f>HYPERLINK("https://dl.dropboxusercontent.com/scl/fi/lfeel8e3055fr81k5kkeu/beverly-133631t.jpg?rlkey=ktbcse1msxssmtn41chepzfm6&amp;dl=0","Click to download Image")</f>
      </c>
      <c r="B1464" s="0">
        <f>HYPERLINK("https://dl.dropboxusercontent.com/scl/fi/jsrh9vc97bezmns8i6476/womens-polo-size-chartsbeverly.jpg?rlkey=ko9f2dhg89u13wcitzl6tgih7&amp;dl=0","Click to download SizeChart")</f>
      </c>
      <c r="C1464" s="0" t="inlineStr">
        <is>
          <t>Beverly Women's Performance Polo</t>
        </is>
      </c>
      <c r="D1464" s="1">
        <v>133631</v>
      </c>
      <c r="E1464" s="0" t="inlineStr">
        <is>
          <t>IOWA BEVERL W DG:133631B-M</t>
        </is>
      </c>
      <c r="F1464" s="2">
        <v>800133631054</v>
      </c>
      <c r="G1464" s="0" t="inlineStr">
        <is>
          <t>WOMENS</t>
        </is>
      </c>
      <c r="H1464" s="0" t="inlineStr">
        <is>
          <t>M</t>
        </is>
      </c>
      <c r="I1464" s="0">
        <v>39.99</v>
      </c>
      <c r="J1464" s="0">
        <v>36</v>
      </c>
    </row>
    <row r="1465" spans="1:10" customHeight="0">
      <c r="A1465" s="0">
        <f>HYPERLINK("https://dl.dropboxusercontent.com/scl/fi/lfeel8e3055fr81k5kkeu/beverly-133631t.jpg?rlkey=ktbcse1msxssmtn41chepzfm6&amp;dl=0","Click to download Image")</f>
      </c>
      <c r="B1465" s="0">
        <f>HYPERLINK("https://dl.dropboxusercontent.com/scl/fi/jsrh9vc97bezmns8i6476/womens-polo-size-chartsbeverly.jpg?rlkey=ko9f2dhg89u13wcitzl6tgih7&amp;dl=0","Click to download SizeChart")</f>
      </c>
      <c r="C1465" s="0" t="inlineStr">
        <is>
          <t>Beverly Women's Performance Polo</t>
        </is>
      </c>
      <c r="D1465" s="1">
        <v>133631</v>
      </c>
      <c r="E1465" s="0" t="inlineStr">
        <is>
          <t>IOWA BEVERL W DG:133631C-L</t>
        </is>
      </c>
      <c r="F1465" s="2">
        <v>800133631061</v>
      </c>
      <c r="G1465" s="0" t="inlineStr">
        <is>
          <t>WOMENS</t>
        </is>
      </c>
      <c r="H1465" s="0" t="inlineStr">
        <is>
          <t>L</t>
        </is>
      </c>
      <c r="I1465" s="0">
        <v>39.99</v>
      </c>
      <c r="J1465" s="0">
        <v>35</v>
      </c>
    </row>
    <row r="1466" spans="1:10" customHeight="0">
      <c r="A1466" s="0">
        <f>HYPERLINK("https://dl.dropboxusercontent.com/scl/fi/lfeel8e3055fr81k5kkeu/beverly-133631t.jpg?rlkey=ktbcse1msxssmtn41chepzfm6&amp;dl=0","Click to download Image")</f>
      </c>
      <c r="B1466" s="0">
        <f>HYPERLINK("https://dl.dropboxusercontent.com/scl/fi/jsrh9vc97bezmns8i6476/womens-polo-size-chartsbeverly.jpg?rlkey=ko9f2dhg89u13wcitzl6tgih7&amp;dl=0","Click to download SizeChart")</f>
      </c>
      <c r="C1466" s="0" t="inlineStr">
        <is>
          <t>Beverly Women's Performance Polo</t>
        </is>
      </c>
      <c r="D1466" s="1">
        <v>133631</v>
      </c>
      <c r="E1466" s="0" t="inlineStr">
        <is>
          <t>IOWA BEVERL W DG:133631D-XL</t>
        </is>
      </c>
      <c r="F1466" s="2">
        <v>800133631078</v>
      </c>
      <c r="G1466" s="0" t="inlineStr">
        <is>
          <t>WOMENS</t>
        </is>
      </c>
      <c r="H1466" s="0" t="inlineStr">
        <is>
          <t>XL</t>
        </is>
      </c>
      <c r="I1466" s="0">
        <v>39.99</v>
      </c>
      <c r="J1466" s="0">
        <v>18</v>
      </c>
    </row>
    <row r="1467" spans="1:10" customHeight="0">
      <c r="A1467" s="0">
        <f>HYPERLINK("https://dl.dropboxusercontent.com/scl/fi/lfeel8e3055fr81k5kkeu/beverly-133631t.jpg?rlkey=ktbcse1msxssmtn41chepzfm6&amp;dl=0","Click to download Image")</f>
      </c>
      <c r="B1467" s="0">
        <f>HYPERLINK("https://dl.dropboxusercontent.com/scl/fi/jsrh9vc97bezmns8i6476/womens-polo-size-chartsbeverly.jpg?rlkey=ko9f2dhg89u13wcitzl6tgih7&amp;dl=0","Click to download SizeChart")</f>
      </c>
      <c r="C1467" s="0" t="inlineStr">
        <is>
          <t>Beverly Women's Performance Polo</t>
        </is>
      </c>
      <c r="D1467" s="1">
        <v>133631</v>
      </c>
      <c r="E1467" s="0" t="inlineStr">
        <is>
          <t>IOWA BEVERL W DG:133631E-2XL</t>
        </is>
      </c>
      <c r="F1467" s="2">
        <v>800133631085</v>
      </c>
      <c r="G1467" s="0" t="inlineStr">
        <is>
          <t>WOMENS</t>
        </is>
      </c>
      <c r="H1467" s="0" t="inlineStr">
        <is>
          <t>2XL</t>
        </is>
      </c>
      <c r="I1467" s="0">
        <v>45.99</v>
      </c>
      <c r="J1467" s="0">
        <v>11</v>
      </c>
    </row>
    <row r="1468" spans="1:10" customHeight="0">
      <c r="A1468" s="0">
        <f>HYPERLINK("https://dl.dropboxusercontent.com/scl/fi/lfeel8e3055fr81k5kkeu/beverly-133631t.jpg?rlkey=ktbcse1msxssmtn41chepzfm6&amp;dl=0","Click to download Image")</f>
      </c>
      <c r="B1468" s="0">
        <f>HYPERLINK("https://dl.dropboxusercontent.com/scl/fi/jsrh9vc97bezmns8i6476/womens-polo-size-chartsbeverly.jpg?rlkey=ko9f2dhg89u13wcitzl6tgih7&amp;dl=0","Click to download SizeChart")</f>
      </c>
      <c r="C1468" s="0" t="inlineStr">
        <is>
          <t>Beverly Women's Performance Polo</t>
        </is>
      </c>
      <c r="D1468" s="1">
        <v>133631</v>
      </c>
      <c r="E1468" s="0" t="inlineStr">
        <is>
          <t>IOWA BEVERL W DG:133631F-3XL</t>
        </is>
      </c>
      <c r="F1468" s="2">
        <v>800133631092</v>
      </c>
      <c r="G1468" s="0" t="inlineStr">
        <is>
          <t>WOMENS</t>
        </is>
      </c>
      <c r="H1468" s="0" t="inlineStr">
        <is>
          <t>3XL</t>
        </is>
      </c>
      <c r="I1468" s="0">
        <v>45.99</v>
      </c>
      <c r="J1468" s="0">
        <v>6</v>
      </c>
    </row>
    <row r="1469" spans="1:10" customHeight="0">
      <c r="A1469" s="0">
        <f>HYPERLINK("https://dl.dropboxusercontent.com/scl/fi/lfeel8e3055fr81k5kkeu/beverly-133631t.jpg?rlkey=ktbcse1msxssmtn41chepzfm6&amp;dl=0","Click to download Image")</f>
      </c>
      <c r="B1469" s="0">
        <f>HYPERLINK("https://dl.dropboxusercontent.com/scl/fi/jsrh9vc97bezmns8i6476/womens-polo-size-chartsbeverly.jpg?rlkey=ko9f2dhg89u13wcitzl6tgih7&amp;dl=0","Click to download SizeChart")</f>
      </c>
      <c r="C1469" s="0" t="inlineStr">
        <is>
          <t>Beverly Women's Performance Polo</t>
        </is>
      </c>
      <c r="D1469" s="1">
        <v>133631</v>
      </c>
      <c r="E1469" s="0" t="inlineStr">
        <is>
          <t>IOWA BEVERL W DG:133631Z-12PK</t>
        </is>
      </c>
      <c r="F1469" s="2">
        <v>800133631993</v>
      </c>
      <c r="G1469" s="0" t="inlineStr">
        <is>
          <t>WOMENS</t>
        </is>
      </c>
      <c r="H1469" s="0" t="inlineStr">
        <is>
          <t>12 PACK</t>
        </is>
      </c>
      <c r="I1469" s="0">
        <v>383.9</v>
      </c>
      <c r="J1469" s="0">
        <v>0</v>
      </c>
    </row>
    <row r="1470" spans="1:10" customHeight="0">
      <c r="A1470" s="0">
        <f>HYPERLINK("https://dl.dropboxusercontent.com/scl/fi/xezvwydq7djab1nchxvw4/beverly-144391-af.jpg?rlkey=g5n55d33ue6silg58skhmhedv&amp;dl=0","Click to download Image")</f>
      </c>
      <c r="B1470" s="0">
        <f>HYPERLINK("https://dl.dropboxusercontent.com/scl/fi/jsrh9vc97bezmns8i6476/womens-polo-size-chartsbeverly.jpg?rlkey=ko9f2dhg89u13wcitzl6tgih7&amp;dl=0","Click to download SizeChart")</f>
      </c>
      <c r="C1470" s="0" t="inlineStr">
        <is>
          <t>Beverly Women's Performance Polo</t>
        </is>
      </c>
      <c r="D1470" s="1">
        <v>144391</v>
      </c>
      <c r="E1470" s="0" t="inlineStr">
        <is>
          <t>IOWA BEVERL W GD:144391A-S</t>
        </is>
      </c>
      <c r="F1470" s="2">
        <v>800144391046</v>
      </c>
      <c r="G1470" s="0" t="inlineStr">
        <is>
          <t>WOMENS</t>
        </is>
      </c>
      <c r="H1470" s="0" t="inlineStr">
        <is>
          <t>S</t>
        </is>
      </c>
      <c r="I1470" s="0">
        <v>39.99</v>
      </c>
      <c r="J1470" s="0">
        <v>5</v>
      </c>
    </row>
    <row r="1471" spans="1:10" customHeight="0">
      <c r="A1471" s="0">
        <f>HYPERLINK("https://dl.dropboxusercontent.com/scl/fi/xezvwydq7djab1nchxvw4/beverly-144391-af.jpg?rlkey=g5n55d33ue6silg58skhmhedv&amp;dl=0","Click to download Image")</f>
      </c>
      <c r="B1471" s="0">
        <f>HYPERLINK("https://dl.dropboxusercontent.com/scl/fi/jsrh9vc97bezmns8i6476/womens-polo-size-chartsbeverly.jpg?rlkey=ko9f2dhg89u13wcitzl6tgih7&amp;dl=0","Click to download SizeChart")</f>
      </c>
      <c r="C1471" s="0" t="inlineStr">
        <is>
          <t>Beverly Women's Performance Polo</t>
        </is>
      </c>
      <c r="D1471" s="1">
        <v>144391</v>
      </c>
      <c r="E1471" s="0" t="inlineStr">
        <is>
          <t>IOWA BEVERL W GD:144391B-M</t>
        </is>
      </c>
      <c r="F1471" s="2">
        <v>800144391053</v>
      </c>
      <c r="G1471" s="0" t="inlineStr">
        <is>
          <t>WOMENS</t>
        </is>
      </c>
      <c r="H1471" s="0" t="inlineStr">
        <is>
          <t>M</t>
        </is>
      </c>
      <c r="I1471" s="0">
        <v>39.99</v>
      </c>
      <c r="J1471" s="0">
        <v>12</v>
      </c>
    </row>
    <row r="1472" spans="1:10" customHeight="0">
      <c r="A1472" s="0">
        <f>HYPERLINK("https://dl.dropboxusercontent.com/scl/fi/xezvwydq7djab1nchxvw4/beverly-144391-af.jpg?rlkey=g5n55d33ue6silg58skhmhedv&amp;dl=0","Click to download Image")</f>
      </c>
      <c r="B1472" s="0">
        <f>HYPERLINK("https://dl.dropboxusercontent.com/scl/fi/jsrh9vc97bezmns8i6476/womens-polo-size-chartsbeverly.jpg?rlkey=ko9f2dhg89u13wcitzl6tgih7&amp;dl=0","Click to download SizeChart")</f>
      </c>
      <c r="C1472" s="0" t="inlineStr">
        <is>
          <t>Beverly Women's Performance Polo</t>
        </is>
      </c>
      <c r="D1472" s="1">
        <v>144391</v>
      </c>
      <c r="E1472" s="0" t="inlineStr">
        <is>
          <t>IOWA BEVERL W GD:144391C-L</t>
        </is>
      </c>
      <c r="F1472" s="2">
        <v>800144391060</v>
      </c>
      <c r="G1472" s="0" t="inlineStr">
        <is>
          <t>WOMENS</t>
        </is>
      </c>
      <c r="H1472" s="0" t="inlineStr">
        <is>
          <t>L</t>
        </is>
      </c>
      <c r="I1472" s="0">
        <v>39.99</v>
      </c>
      <c r="J1472" s="0">
        <v>12</v>
      </c>
    </row>
    <row r="1473" spans="1:10" customHeight="0">
      <c r="A1473" s="0">
        <f>HYPERLINK("https://dl.dropboxusercontent.com/scl/fi/xezvwydq7djab1nchxvw4/beverly-144391-af.jpg?rlkey=g5n55d33ue6silg58skhmhedv&amp;dl=0","Click to download Image")</f>
      </c>
      <c r="B1473" s="0">
        <f>HYPERLINK("https://dl.dropboxusercontent.com/scl/fi/jsrh9vc97bezmns8i6476/womens-polo-size-chartsbeverly.jpg?rlkey=ko9f2dhg89u13wcitzl6tgih7&amp;dl=0","Click to download SizeChart")</f>
      </c>
      <c r="C1473" s="0" t="inlineStr">
        <is>
          <t>Beverly Women's Performance Polo</t>
        </is>
      </c>
      <c r="D1473" s="1">
        <v>144391</v>
      </c>
      <c r="E1473" s="0" t="inlineStr">
        <is>
          <t>IOWA BEVERL W GD:144391D-XL</t>
        </is>
      </c>
      <c r="F1473" s="2">
        <v>800144391077</v>
      </c>
      <c r="G1473" s="0" t="inlineStr">
        <is>
          <t>WOMENS</t>
        </is>
      </c>
      <c r="H1473" s="0" t="inlineStr">
        <is>
          <t>XL</t>
        </is>
      </c>
      <c r="I1473" s="0">
        <v>39.99</v>
      </c>
      <c r="J1473" s="0">
        <v>5</v>
      </c>
    </row>
    <row r="1474" spans="1:10" customHeight="0">
      <c r="A1474" s="0">
        <f>HYPERLINK("https://dl.dropboxusercontent.com/scl/fi/xezvwydq7djab1nchxvw4/beverly-144391-af.jpg?rlkey=g5n55d33ue6silg58skhmhedv&amp;dl=0","Click to download Image")</f>
      </c>
      <c r="B1474" s="0">
        <f>HYPERLINK("https://dl.dropboxusercontent.com/scl/fi/jsrh9vc97bezmns8i6476/womens-polo-size-chartsbeverly.jpg?rlkey=ko9f2dhg89u13wcitzl6tgih7&amp;dl=0","Click to download SizeChart")</f>
      </c>
      <c r="C1474" s="0" t="inlineStr">
        <is>
          <t>Beverly Women's Performance Polo</t>
        </is>
      </c>
      <c r="D1474" s="1">
        <v>144391</v>
      </c>
      <c r="E1474" s="0" t="inlineStr">
        <is>
          <t>IOWA BEVERL W GD:144391E-2XL</t>
        </is>
      </c>
      <c r="F1474" s="2">
        <v>800144391084</v>
      </c>
      <c r="G1474" s="0" t="inlineStr">
        <is>
          <t>WOMENS</t>
        </is>
      </c>
      <c r="H1474" s="0" t="inlineStr">
        <is>
          <t>2XL</t>
        </is>
      </c>
      <c r="I1474" s="0">
        <v>49.99</v>
      </c>
      <c r="J1474" s="0">
        <v>3</v>
      </c>
    </row>
    <row r="1475" spans="1:10" customHeight="0">
      <c r="A1475" s="0">
        <f>HYPERLINK("https://dl.dropboxusercontent.com/scl/fi/xezvwydq7djab1nchxvw4/beverly-144391-af.jpg?rlkey=g5n55d33ue6silg58skhmhedv&amp;dl=0","Click to download Image")</f>
      </c>
      <c r="B1475" s="0">
        <f>HYPERLINK("https://dl.dropboxusercontent.com/scl/fi/jsrh9vc97bezmns8i6476/womens-polo-size-chartsbeverly.jpg?rlkey=ko9f2dhg89u13wcitzl6tgih7&amp;dl=0","Click to download SizeChart")</f>
      </c>
      <c r="C1475" s="0" t="inlineStr">
        <is>
          <t>Beverly Women's Performance Polo</t>
        </is>
      </c>
      <c r="D1475" s="1">
        <v>144391</v>
      </c>
      <c r="E1475" s="0" t="inlineStr">
        <is>
          <t>IOWA BEVERL W GD:144391F-3XL</t>
        </is>
      </c>
      <c r="F1475" s="2">
        <v>800144391091</v>
      </c>
      <c r="G1475" s="0" t="inlineStr">
        <is>
          <t>WOMENS</t>
        </is>
      </c>
      <c r="H1475" s="0" t="inlineStr">
        <is>
          <t>3XL</t>
        </is>
      </c>
      <c r="I1475" s="0">
        <v>49.99</v>
      </c>
      <c r="J1475" s="0">
        <v>2</v>
      </c>
    </row>
    <row r="1476" spans="1:10" customHeight="0">
      <c r="A1476" s="0">
        <f>HYPERLINK("https://dl.dropboxusercontent.com/scl/fi/xezvwydq7djab1nchxvw4/beverly-144391-af.jpg?rlkey=g5n55d33ue6silg58skhmhedv&amp;dl=0","Click to download Image")</f>
      </c>
      <c r="B1476" s="0">
        <f>HYPERLINK("https://dl.dropboxusercontent.com/scl/fi/jsrh9vc97bezmns8i6476/womens-polo-size-chartsbeverly.jpg?rlkey=ko9f2dhg89u13wcitzl6tgih7&amp;dl=0","Click to download SizeChart")</f>
      </c>
      <c r="C1476" s="0" t="inlineStr">
        <is>
          <t>Beverly Women's Performance Polo</t>
        </is>
      </c>
      <c r="D1476" s="1">
        <v>144391</v>
      </c>
      <c r="E1476" s="0" t="inlineStr">
        <is>
          <t>IOWA BEVERL W GD:144391Z-12PK</t>
        </is>
      </c>
      <c r="F1476" s="2">
        <v>800144391992</v>
      </c>
      <c r="G1476" s="0" t="inlineStr">
        <is>
          <t>WOMENS</t>
        </is>
      </c>
      <c r="H1476" s="0" t="inlineStr">
        <is>
          <t>12 PACK</t>
        </is>
      </c>
      <c r="I1476" s="0">
        <v>383.9</v>
      </c>
      <c r="J1476" s="0">
        <v>0</v>
      </c>
    </row>
    <row r="1477" spans="1:10" customHeight="0">
      <c r="A1477" s="0">
        <f>HYPERLINK("https://dl.dropboxusercontent.com/scl/fi/j25ecegahzvamllc9c7kw/beverly-f.jpg?rlkey=w487sfhttig7l23ts9kwotg8j&amp;dl=0","Click to download Image")</f>
      </c>
      <c r="B1477" s="0">
        <f>HYPERLINK("https://dl.dropboxusercontent.com/scl/fi/jsrh9vc97bezmns8i6476/womens-polo-size-chartsbeverly.jpg?rlkey=ko9f2dhg89u13wcitzl6tgih7&amp;dl=0","Click to download SizeChart")</f>
      </c>
      <c r="C1477" s="0" t="inlineStr">
        <is>
          <t>Beverly Women's Performance Polo</t>
        </is>
      </c>
      <c r="D1477" s="1">
        <v>112231</v>
      </c>
      <c r="E1477" s="0" t="inlineStr">
        <is>
          <t>IOWA BEVERLY BLACK:112231A - S</t>
        </is>
      </c>
      <c r="G1477" s="0" t="inlineStr">
        <is>
          <t>WOMENS</t>
        </is>
      </c>
      <c r="H1477" s="0" t="inlineStr">
        <is>
          <t>S</t>
        </is>
      </c>
      <c r="I1477" s="0">
        <v>39.99</v>
      </c>
      <c r="J1477" s="0">
        <v>0</v>
      </c>
    </row>
    <row r="1478" spans="1:10" customHeight="0">
      <c r="A1478" s="0">
        <f>HYPERLINK("https://dl.dropboxusercontent.com/scl/fi/j25ecegahzvamllc9c7kw/beverly-f.jpg?rlkey=w487sfhttig7l23ts9kwotg8j&amp;dl=0","Click to download Image")</f>
      </c>
      <c r="B1478" s="0">
        <f>HYPERLINK("https://dl.dropboxusercontent.com/scl/fi/jsrh9vc97bezmns8i6476/womens-polo-size-chartsbeverly.jpg?rlkey=ko9f2dhg89u13wcitzl6tgih7&amp;dl=0","Click to download SizeChart")</f>
      </c>
      <c r="C1478" s="0" t="inlineStr">
        <is>
          <t>Beverly Women's Performance Polo</t>
        </is>
      </c>
      <c r="D1478" s="1">
        <v>112231</v>
      </c>
      <c r="E1478" s="0" t="inlineStr">
        <is>
          <t>IOWA BEVERLY BLACK:112231B - M</t>
        </is>
      </c>
      <c r="G1478" s="0" t="inlineStr">
        <is>
          <t>WOMENS</t>
        </is>
      </c>
      <c r="H1478" s="0" t="inlineStr">
        <is>
          <t>M</t>
        </is>
      </c>
      <c r="I1478" s="0">
        <v>39.99</v>
      </c>
      <c r="J1478" s="0">
        <v>1</v>
      </c>
    </row>
    <row r="1479" spans="1:10" customHeight="0">
      <c r="A1479" s="0">
        <f>HYPERLINK("https://dl.dropboxusercontent.com/scl/fi/j25ecegahzvamllc9c7kw/beverly-f.jpg?rlkey=w487sfhttig7l23ts9kwotg8j&amp;dl=0","Click to download Image")</f>
      </c>
      <c r="B1479" s="0">
        <f>HYPERLINK("https://dl.dropboxusercontent.com/scl/fi/jsrh9vc97bezmns8i6476/womens-polo-size-chartsbeverly.jpg?rlkey=ko9f2dhg89u13wcitzl6tgih7&amp;dl=0","Click to download SizeChart")</f>
      </c>
      <c r="C1479" s="0" t="inlineStr">
        <is>
          <t>Beverly Women's Performance Polo</t>
        </is>
      </c>
      <c r="D1479" s="1">
        <v>112231</v>
      </c>
      <c r="E1479" s="0" t="inlineStr">
        <is>
          <t>IOWA BEVERLY BLACK:112231C - L</t>
        </is>
      </c>
      <c r="G1479" s="0" t="inlineStr">
        <is>
          <t>WOMENS</t>
        </is>
      </c>
      <c r="H1479" s="0" t="inlineStr">
        <is>
          <t>L</t>
        </is>
      </c>
      <c r="I1479" s="0">
        <v>39.99</v>
      </c>
      <c r="J1479" s="0">
        <v>10</v>
      </c>
    </row>
    <row r="1480" spans="1:10" customHeight="0">
      <c r="A1480" s="0">
        <f>HYPERLINK("https://dl.dropboxusercontent.com/scl/fi/j25ecegahzvamllc9c7kw/beverly-f.jpg?rlkey=w487sfhttig7l23ts9kwotg8j&amp;dl=0","Click to download Image")</f>
      </c>
      <c r="B1480" s="0">
        <f>HYPERLINK("https://dl.dropboxusercontent.com/scl/fi/jsrh9vc97bezmns8i6476/womens-polo-size-chartsbeverly.jpg?rlkey=ko9f2dhg89u13wcitzl6tgih7&amp;dl=0","Click to download SizeChart")</f>
      </c>
      <c r="C1480" s="0" t="inlineStr">
        <is>
          <t>Beverly Women's Performance Polo</t>
        </is>
      </c>
      <c r="D1480" s="1">
        <v>112231</v>
      </c>
      <c r="E1480" s="0" t="inlineStr">
        <is>
          <t>IOWA BEVERLY BLACK:112231D - XL</t>
        </is>
      </c>
      <c r="G1480" s="0" t="inlineStr">
        <is>
          <t>WOMENS</t>
        </is>
      </c>
      <c r="H1480" s="0" t="inlineStr">
        <is>
          <t>XL</t>
        </is>
      </c>
      <c r="I1480" s="0">
        <v>39.99</v>
      </c>
      <c r="J1480" s="0">
        <v>15</v>
      </c>
    </row>
    <row r="1481" spans="1:10" customHeight="0">
      <c r="A1481" s="0">
        <f>HYPERLINK("https://dl.dropboxusercontent.com/scl/fi/j25ecegahzvamllc9c7kw/beverly-f.jpg?rlkey=w487sfhttig7l23ts9kwotg8j&amp;dl=0","Click to download Image")</f>
      </c>
      <c r="B1481" s="0">
        <f>HYPERLINK("https://dl.dropboxusercontent.com/scl/fi/jsrh9vc97bezmns8i6476/womens-polo-size-chartsbeverly.jpg?rlkey=ko9f2dhg89u13wcitzl6tgih7&amp;dl=0","Click to download SizeChart")</f>
      </c>
      <c r="C1481" s="0" t="inlineStr">
        <is>
          <t>Beverly Women's Performance Polo</t>
        </is>
      </c>
      <c r="D1481" s="1">
        <v>112231</v>
      </c>
      <c r="E1481" s="0" t="inlineStr">
        <is>
          <t>IOWA BEVERLY BLACK:112231E - 2XL</t>
        </is>
      </c>
      <c r="G1481" s="0" t="inlineStr">
        <is>
          <t>WOMENS</t>
        </is>
      </c>
      <c r="H1481" s="0" t="inlineStr">
        <is>
          <t>2XL</t>
        </is>
      </c>
      <c r="I1481" s="0">
        <v>43.99</v>
      </c>
      <c r="J1481" s="0">
        <v>11</v>
      </c>
    </row>
    <row r="1482" spans="1:10" customHeight="0">
      <c r="A1482" s="0">
        <f>HYPERLINK("https://dl.dropboxusercontent.com/scl/fi/j25ecegahzvamllc9c7kw/beverly-f.jpg?rlkey=w487sfhttig7l23ts9kwotg8j&amp;dl=0","Click to download Image")</f>
      </c>
      <c r="B1482" s="0">
        <f>HYPERLINK("https://dl.dropboxusercontent.com/scl/fi/jsrh9vc97bezmns8i6476/womens-polo-size-chartsbeverly.jpg?rlkey=ko9f2dhg89u13wcitzl6tgih7&amp;dl=0","Click to download SizeChart")</f>
      </c>
      <c r="C1482" s="0" t="inlineStr">
        <is>
          <t>Beverly Women's Performance Polo</t>
        </is>
      </c>
      <c r="D1482" s="1">
        <v>112231</v>
      </c>
      <c r="E1482" s="0" t="inlineStr">
        <is>
          <t>IOWA BEVERLY BLACK:112231F - 3XL</t>
        </is>
      </c>
      <c r="G1482" s="0" t="inlineStr">
        <is>
          <t>WOMENS</t>
        </is>
      </c>
      <c r="H1482" s="0" t="inlineStr">
        <is>
          <t>3XL</t>
        </is>
      </c>
      <c r="I1482" s="0">
        <v>43.99</v>
      </c>
      <c r="J1482" s="0">
        <v>3</v>
      </c>
    </row>
    <row r="1483" spans="1:10" customHeight="0">
      <c r="A1483" s="0">
        <f>HYPERLINK("https://dl.dropboxusercontent.com/scl/fi/fl5qtd0pd0mj4zpic7wmy/112232.jpg?rlkey=a0ubyv54asxacj2uveypf0ih8&amp;dl=0","Click to download Image")</f>
      </c>
      <c r="B1483" s="0">
        <f>HYPERLINK("https://dl.dropboxusercontent.com/scl/fi/jsrh9vc97bezmns8i6476/womens-polo-size-chartsbeverly.jpg?rlkey=ko9f2dhg89u13wcitzl6tgih7&amp;dl=0","Click to download SizeChart")</f>
      </c>
      <c r="C1483" s="0" t="inlineStr">
        <is>
          <t>Beverly Women's Performance Polo</t>
        </is>
      </c>
      <c r="D1483" s="1">
        <v>112232</v>
      </c>
      <c r="E1483" s="0" t="inlineStr">
        <is>
          <t>IOWA BEVERLY GOLD:112232A - S</t>
        </is>
      </c>
      <c r="G1483" s="0" t="inlineStr">
        <is>
          <t>WOMENS</t>
        </is>
      </c>
      <c r="H1483" s="0" t="inlineStr">
        <is>
          <t>S</t>
        </is>
      </c>
      <c r="I1483" s="0">
        <v>39.99</v>
      </c>
      <c r="J1483" s="0">
        <v>6</v>
      </c>
    </row>
    <row r="1484" spans="1:10" customHeight="0">
      <c r="A1484" s="0">
        <f>HYPERLINK("https://dl.dropboxusercontent.com/scl/fi/fl5qtd0pd0mj4zpic7wmy/112232.jpg?rlkey=a0ubyv54asxacj2uveypf0ih8&amp;dl=0","Click to download Image")</f>
      </c>
      <c r="B1484" s="0">
        <f>HYPERLINK("https://dl.dropboxusercontent.com/scl/fi/jsrh9vc97bezmns8i6476/womens-polo-size-chartsbeverly.jpg?rlkey=ko9f2dhg89u13wcitzl6tgih7&amp;dl=0","Click to download SizeChart")</f>
      </c>
      <c r="C1484" s="0" t="inlineStr">
        <is>
          <t>Beverly Women's Performance Polo</t>
        </is>
      </c>
      <c r="D1484" s="1">
        <v>112232</v>
      </c>
      <c r="E1484" s="0" t="inlineStr">
        <is>
          <t>IOWA BEVERLY GOLD:112232B - M</t>
        </is>
      </c>
      <c r="G1484" s="0" t="inlineStr">
        <is>
          <t>WOMENS</t>
        </is>
      </c>
      <c r="H1484" s="0" t="inlineStr">
        <is>
          <t>M</t>
        </is>
      </c>
      <c r="I1484" s="0">
        <v>39.99</v>
      </c>
      <c r="J1484" s="0">
        <v>13</v>
      </c>
    </row>
    <row r="1485" spans="1:10" customHeight="0">
      <c r="A1485" s="0">
        <f>HYPERLINK("https://dl.dropboxusercontent.com/scl/fi/fl5qtd0pd0mj4zpic7wmy/112232.jpg?rlkey=a0ubyv54asxacj2uveypf0ih8&amp;dl=0","Click to download Image")</f>
      </c>
      <c r="B1485" s="0">
        <f>HYPERLINK("https://dl.dropboxusercontent.com/scl/fi/jsrh9vc97bezmns8i6476/womens-polo-size-chartsbeverly.jpg?rlkey=ko9f2dhg89u13wcitzl6tgih7&amp;dl=0","Click to download SizeChart")</f>
      </c>
      <c r="C1485" s="0" t="inlineStr">
        <is>
          <t>Beverly Women's Performance Polo</t>
        </is>
      </c>
      <c r="D1485" s="1">
        <v>112232</v>
      </c>
      <c r="E1485" s="0" t="inlineStr">
        <is>
          <t>IOWA BEVERLY GOLD:112232C - L</t>
        </is>
      </c>
      <c r="G1485" s="0" t="inlineStr">
        <is>
          <t>WOMENS</t>
        </is>
      </c>
      <c r="H1485" s="0" t="inlineStr">
        <is>
          <t>L</t>
        </is>
      </c>
      <c r="I1485" s="0">
        <v>39.99</v>
      </c>
      <c r="J1485" s="0">
        <v>20</v>
      </c>
    </row>
    <row r="1486" spans="1:10" customHeight="0">
      <c r="A1486" s="0">
        <f>HYPERLINK("https://dl.dropboxusercontent.com/scl/fi/fl5qtd0pd0mj4zpic7wmy/112232.jpg?rlkey=a0ubyv54asxacj2uveypf0ih8&amp;dl=0","Click to download Image")</f>
      </c>
      <c r="B1486" s="0">
        <f>HYPERLINK("https://dl.dropboxusercontent.com/scl/fi/jsrh9vc97bezmns8i6476/womens-polo-size-chartsbeverly.jpg?rlkey=ko9f2dhg89u13wcitzl6tgih7&amp;dl=0","Click to download SizeChart")</f>
      </c>
      <c r="C1486" s="0" t="inlineStr">
        <is>
          <t>Beverly Women's Performance Polo</t>
        </is>
      </c>
      <c r="D1486" s="1">
        <v>112232</v>
      </c>
      <c r="E1486" s="0" t="inlineStr">
        <is>
          <t>IOWA BEVERLY GOLD:112232D - XL</t>
        </is>
      </c>
      <c r="G1486" s="0" t="inlineStr">
        <is>
          <t>WOMENS</t>
        </is>
      </c>
      <c r="H1486" s="0" t="inlineStr">
        <is>
          <t>XL</t>
        </is>
      </c>
      <c r="I1486" s="0">
        <v>39.99</v>
      </c>
      <c r="J1486" s="0">
        <v>22</v>
      </c>
    </row>
    <row r="1487" spans="1:10" customHeight="0">
      <c r="A1487" s="0">
        <f>HYPERLINK("https://dl.dropboxusercontent.com/scl/fi/fl5qtd0pd0mj4zpic7wmy/112232.jpg?rlkey=a0ubyv54asxacj2uveypf0ih8&amp;dl=0","Click to download Image")</f>
      </c>
      <c r="B1487" s="0">
        <f>HYPERLINK("https://dl.dropboxusercontent.com/scl/fi/jsrh9vc97bezmns8i6476/womens-polo-size-chartsbeverly.jpg?rlkey=ko9f2dhg89u13wcitzl6tgih7&amp;dl=0","Click to download SizeChart")</f>
      </c>
      <c r="C1487" s="0" t="inlineStr">
        <is>
          <t>Beverly Women's Performance Polo</t>
        </is>
      </c>
      <c r="D1487" s="1">
        <v>112232</v>
      </c>
      <c r="E1487" s="0" t="inlineStr">
        <is>
          <t>IOWA BEVERLY GOLD:112232E - 2XL</t>
        </is>
      </c>
      <c r="G1487" s="0" t="inlineStr">
        <is>
          <t>WOMENS</t>
        </is>
      </c>
      <c r="H1487" s="0" t="inlineStr">
        <is>
          <t>2XL</t>
        </is>
      </c>
      <c r="I1487" s="0">
        <v>51.99</v>
      </c>
      <c r="J1487" s="0">
        <v>14</v>
      </c>
    </row>
    <row r="1488" spans="1:10" customHeight="0">
      <c r="A1488" s="0">
        <f>HYPERLINK("https://dl.dropboxusercontent.com/scl/fi/fl5qtd0pd0mj4zpic7wmy/112232.jpg?rlkey=a0ubyv54asxacj2uveypf0ih8&amp;dl=0","Click to download Image")</f>
      </c>
      <c r="B1488" s="0">
        <f>HYPERLINK("https://dl.dropboxusercontent.com/scl/fi/jsrh9vc97bezmns8i6476/womens-polo-size-chartsbeverly.jpg?rlkey=ko9f2dhg89u13wcitzl6tgih7&amp;dl=0","Click to download SizeChart")</f>
      </c>
      <c r="C1488" s="0" t="inlineStr">
        <is>
          <t>Beverly Women's Performance Polo</t>
        </is>
      </c>
      <c r="D1488" s="1">
        <v>112232</v>
      </c>
      <c r="E1488" s="0" t="inlineStr">
        <is>
          <t>IOWA BEVERLY GOLD:112232F - 3XL</t>
        </is>
      </c>
      <c r="G1488" s="0" t="inlineStr">
        <is>
          <t>WOMENS</t>
        </is>
      </c>
      <c r="H1488" s="0" t="inlineStr">
        <is>
          <t>3XL</t>
        </is>
      </c>
      <c r="I1488" s="0">
        <v>51.99</v>
      </c>
      <c r="J1488" s="0">
        <v>6</v>
      </c>
    </row>
    <row r="1489" spans="1:10" customHeight="0">
      <c r="A1489" s="0">
        <f>HYPERLINK("https://dl.dropboxusercontent.com/scl/fi/zenmw0fe36s4akoff4l8r/beverly-w.jpg?rlkey=euxrnb3mpfc52qft0pb3lr9wa&amp;dl=0","Click to download Image")</f>
      </c>
      <c r="B1489" s="0">
        <f>HYPERLINK("https://dl.dropboxusercontent.com/scl/fi/jsrh9vc97bezmns8i6476/womens-polo-size-chartsbeverly.jpg?rlkey=ko9f2dhg89u13wcitzl6tgih7&amp;dl=0","Click to download SizeChart")</f>
      </c>
      <c r="C1489" s="0" t="inlineStr">
        <is>
          <t>Beverly Women's Performance Polo</t>
        </is>
      </c>
      <c r="D1489" s="1">
        <v>112233</v>
      </c>
      <c r="E1489" s="0" t="inlineStr">
        <is>
          <t>IOWA BEVERLY WHITE:112233A - S</t>
        </is>
      </c>
      <c r="G1489" s="0" t="inlineStr">
        <is>
          <t>WOMENS</t>
        </is>
      </c>
      <c r="H1489" s="0" t="inlineStr">
        <is>
          <t>S</t>
        </is>
      </c>
      <c r="I1489" s="0">
        <v>39.99</v>
      </c>
      <c r="J1489" s="0">
        <v>8</v>
      </c>
    </row>
    <row r="1490" spans="1:10" customHeight="0">
      <c r="A1490" s="0">
        <f>HYPERLINK("https://dl.dropboxusercontent.com/scl/fi/zenmw0fe36s4akoff4l8r/beverly-w.jpg?rlkey=euxrnb3mpfc52qft0pb3lr9wa&amp;dl=0","Click to download Image")</f>
      </c>
      <c r="B1490" s="0">
        <f>HYPERLINK("https://dl.dropboxusercontent.com/scl/fi/jsrh9vc97bezmns8i6476/womens-polo-size-chartsbeverly.jpg?rlkey=ko9f2dhg89u13wcitzl6tgih7&amp;dl=0","Click to download SizeChart")</f>
      </c>
      <c r="C1490" s="0" t="inlineStr">
        <is>
          <t>Beverly Women's Performance Polo</t>
        </is>
      </c>
      <c r="D1490" s="1">
        <v>112233</v>
      </c>
      <c r="E1490" s="0" t="inlineStr">
        <is>
          <t>IOWA BEVERLY WHITE:112233B - M</t>
        </is>
      </c>
      <c r="G1490" s="0" t="inlineStr">
        <is>
          <t>WOMENS</t>
        </is>
      </c>
      <c r="H1490" s="0" t="inlineStr">
        <is>
          <t>M</t>
        </is>
      </c>
      <c r="I1490" s="0">
        <v>39.99</v>
      </c>
      <c r="J1490" s="0">
        <v>15</v>
      </c>
    </row>
    <row r="1491" spans="1:10" customHeight="0">
      <c r="A1491" s="0">
        <f>HYPERLINK("https://dl.dropboxusercontent.com/scl/fi/zenmw0fe36s4akoff4l8r/beverly-w.jpg?rlkey=euxrnb3mpfc52qft0pb3lr9wa&amp;dl=0","Click to download Image")</f>
      </c>
      <c r="B1491" s="0">
        <f>HYPERLINK("https://dl.dropboxusercontent.com/scl/fi/jsrh9vc97bezmns8i6476/womens-polo-size-chartsbeverly.jpg?rlkey=ko9f2dhg89u13wcitzl6tgih7&amp;dl=0","Click to download SizeChart")</f>
      </c>
      <c r="C1491" s="0" t="inlineStr">
        <is>
          <t>Beverly Women's Performance Polo</t>
        </is>
      </c>
      <c r="D1491" s="1">
        <v>112233</v>
      </c>
      <c r="E1491" s="0" t="inlineStr">
        <is>
          <t>IOWA BEVERLY WHITE:112233C - L</t>
        </is>
      </c>
      <c r="G1491" s="0" t="inlineStr">
        <is>
          <t>WOMENS</t>
        </is>
      </c>
      <c r="H1491" s="0" t="inlineStr">
        <is>
          <t>L</t>
        </is>
      </c>
      <c r="I1491" s="0">
        <v>39.99</v>
      </c>
      <c r="J1491" s="0">
        <v>24</v>
      </c>
    </row>
    <row r="1492" spans="1:10" customHeight="0">
      <c r="A1492" s="0">
        <f>HYPERLINK("https://dl.dropboxusercontent.com/scl/fi/zenmw0fe36s4akoff4l8r/beverly-w.jpg?rlkey=euxrnb3mpfc52qft0pb3lr9wa&amp;dl=0","Click to download Image")</f>
      </c>
      <c r="B1492" s="0">
        <f>HYPERLINK("https://dl.dropboxusercontent.com/scl/fi/jsrh9vc97bezmns8i6476/womens-polo-size-chartsbeverly.jpg?rlkey=ko9f2dhg89u13wcitzl6tgih7&amp;dl=0","Click to download SizeChart")</f>
      </c>
      <c r="C1492" s="0" t="inlineStr">
        <is>
          <t>Beverly Women's Performance Polo</t>
        </is>
      </c>
      <c r="D1492" s="1">
        <v>112233</v>
      </c>
      <c r="E1492" s="0" t="inlineStr">
        <is>
          <t>IOWA BEVERLY WHITE:112233D - XL</t>
        </is>
      </c>
      <c r="G1492" s="0" t="inlineStr">
        <is>
          <t>WOMENS</t>
        </is>
      </c>
      <c r="H1492" s="0" t="inlineStr">
        <is>
          <t>XL</t>
        </is>
      </c>
      <c r="I1492" s="0">
        <v>39.99</v>
      </c>
      <c r="J1492" s="0">
        <v>24</v>
      </c>
    </row>
    <row r="1493" spans="1:10" customHeight="0">
      <c r="A1493" s="0">
        <f>HYPERLINK("https://dl.dropboxusercontent.com/scl/fi/zenmw0fe36s4akoff4l8r/beverly-w.jpg?rlkey=euxrnb3mpfc52qft0pb3lr9wa&amp;dl=0","Click to download Image")</f>
      </c>
      <c r="B1493" s="0">
        <f>HYPERLINK("https://dl.dropboxusercontent.com/scl/fi/jsrh9vc97bezmns8i6476/womens-polo-size-chartsbeverly.jpg?rlkey=ko9f2dhg89u13wcitzl6tgih7&amp;dl=0","Click to download SizeChart")</f>
      </c>
      <c r="C1493" s="0" t="inlineStr">
        <is>
          <t>Beverly Women's Performance Polo</t>
        </is>
      </c>
      <c r="D1493" s="1">
        <v>112233</v>
      </c>
      <c r="E1493" s="0" t="inlineStr">
        <is>
          <t>IOWA BEVERLY WHITE:112233E - 2XL</t>
        </is>
      </c>
      <c r="G1493" s="0" t="inlineStr">
        <is>
          <t>WOMENS</t>
        </is>
      </c>
      <c r="H1493" s="0" t="inlineStr">
        <is>
          <t>2XL</t>
        </is>
      </c>
      <c r="I1493" s="0">
        <v>39.99</v>
      </c>
      <c r="J1493" s="0">
        <v>16</v>
      </c>
    </row>
    <row r="1494" spans="1:10" customHeight="0">
      <c r="A1494" s="0">
        <f>HYPERLINK("https://dl.dropboxusercontent.com/scl/fi/zenmw0fe36s4akoff4l8r/beverly-w.jpg?rlkey=euxrnb3mpfc52qft0pb3lr9wa&amp;dl=0","Click to download Image")</f>
      </c>
      <c r="B1494" s="0">
        <f>HYPERLINK("https://dl.dropboxusercontent.com/scl/fi/jsrh9vc97bezmns8i6476/womens-polo-size-chartsbeverly.jpg?rlkey=ko9f2dhg89u13wcitzl6tgih7&amp;dl=0","Click to download SizeChart")</f>
      </c>
      <c r="C1494" s="0" t="inlineStr">
        <is>
          <t>Beverly Women's Performance Polo</t>
        </is>
      </c>
      <c r="D1494" s="1">
        <v>112233</v>
      </c>
      <c r="E1494" s="0" t="inlineStr">
        <is>
          <t>IOWA BEVERLY WHITE:112233F - 3XL</t>
        </is>
      </c>
      <c r="G1494" s="0" t="inlineStr">
        <is>
          <t>WOMENS</t>
        </is>
      </c>
      <c r="H1494" s="0" t="inlineStr">
        <is>
          <t>3XL</t>
        </is>
      </c>
      <c r="I1494" s="0">
        <v>39.99</v>
      </c>
      <c r="J1494" s="0">
        <v>8</v>
      </c>
    </row>
    <row r="1495" spans="1:10" customHeight="0">
      <c r="A1495" s="0">
        <f>HYPERLINK("https://dl.dropboxusercontent.com/scl/fi/7169hl1c8bzy4jklmxw0q/longsleeve-1308888.jpg?rlkey=rr1hoh7fvmiz30f1u88b7kket&amp;dl=0","Click to download Image")</f>
      </c>
      <c r="B1495" s="0">
        <f>HYPERLINK("https://dl.dropboxusercontent.com/scl/fi/ls72g22kcp9k4mp4qkzik/womens-t-shirt-size-chartsmarilynn-ls.jpg?rlkey=slulh387jipogh9g7au1lewrb&amp;dl=0","Click to download SizeChart")</f>
      </c>
      <c r="C1495" s="0" t="inlineStr">
        <is>
          <t>Marilynn Women's Long Sleeve</t>
        </is>
      </c>
      <c r="D1495" s="1">
        <v>155290</v>
      </c>
      <c r="E1495" s="0" t="inlineStr">
        <is>
          <t>IA MAR2LS W GY:155290A-S</t>
        </is>
      </c>
      <c r="F1495" s="2">
        <v>800155290048</v>
      </c>
      <c r="G1495" s="0" t="inlineStr">
        <is>
          <t>WOMENS</t>
        </is>
      </c>
      <c r="H1495" s="0" t="inlineStr">
        <is>
          <t>S</t>
        </is>
      </c>
      <c r="I1495" s="0">
        <v>32.99</v>
      </c>
      <c r="J1495" s="0">
        <v>0</v>
      </c>
    </row>
    <row r="1496" spans="1:10" customHeight="0">
      <c r="A1496" s="0">
        <f>HYPERLINK("https://dl.dropboxusercontent.com/scl/fi/7169hl1c8bzy4jklmxw0q/longsleeve-1308888.jpg?rlkey=rr1hoh7fvmiz30f1u88b7kket&amp;dl=0","Click to download Image")</f>
      </c>
      <c r="B1496" s="0">
        <f>HYPERLINK("https://dl.dropboxusercontent.com/scl/fi/ls72g22kcp9k4mp4qkzik/womens-t-shirt-size-chartsmarilynn-ls.jpg?rlkey=slulh387jipogh9g7au1lewrb&amp;dl=0","Click to download SizeChart")</f>
      </c>
      <c r="C1496" s="0" t="inlineStr">
        <is>
          <t>Marilynn Women's Long Sleeve</t>
        </is>
      </c>
      <c r="D1496" s="1">
        <v>155290</v>
      </c>
      <c r="E1496" s="0" t="inlineStr">
        <is>
          <t>IA MAR2LS W GY:155290B-M</t>
        </is>
      </c>
      <c r="F1496" s="2">
        <v>800155290055</v>
      </c>
      <c r="G1496" s="0" t="inlineStr">
        <is>
          <t>WOMENS</t>
        </is>
      </c>
      <c r="H1496" s="0" t="inlineStr">
        <is>
          <t>M</t>
        </is>
      </c>
      <c r="I1496" s="0">
        <v>32.99</v>
      </c>
      <c r="J1496" s="0">
        <v>3</v>
      </c>
    </row>
    <row r="1497" spans="1:10" customHeight="0">
      <c r="A1497" s="0">
        <f>HYPERLINK("https://dl.dropboxusercontent.com/scl/fi/7169hl1c8bzy4jklmxw0q/longsleeve-1308888.jpg?rlkey=rr1hoh7fvmiz30f1u88b7kket&amp;dl=0","Click to download Image")</f>
      </c>
      <c r="B1497" s="0">
        <f>HYPERLINK("https://dl.dropboxusercontent.com/scl/fi/ls72g22kcp9k4mp4qkzik/womens-t-shirt-size-chartsmarilynn-ls.jpg?rlkey=slulh387jipogh9g7au1lewrb&amp;dl=0","Click to download SizeChart")</f>
      </c>
      <c r="C1497" s="0" t="inlineStr">
        <is>
          <t>Marilynn Women's Long Sleeve</t>
        </is>
      </c>
      <c r="D1497" s="1">
        <v>155290</v>
      </c>
      <c r="E1497" s="0" t="inlineStr">
        <is>
          <t>IA MAR2LS W GY:155290C-L</t>
        </is>
      </c>
      <c r="F1497" s="2">
        <v>800155290062</v>
      </c>
      <c r="G1497" s="0" t="inlineStr">
        <is>
          <t>WOMENS</t>
        </is>
      </c>
      <c r="H1497" s="0" t="inlineStr">
        <is>
          <t>L</t>
        </is>
      </c>
      <c r="I1497" s="0">
        <v>32.99</v>
      </c>
      <c r="J1497" s="0">
        <v>1</v>
      </c>
    </row>
    <row r="1498" spans="1:10" customHeight="0">
      <c r="A1498" s="0">
        <f>HYPERLINK("https://dl.dropboxusercontent.com/scl/fi/7169hl1c8bzy4jklmxw0q/longsleeve-1308888.jpg?rlkey=rr1hoh7fvmiz30f1u88b7kket&amp;dl=0","Click to download Image")</f>
      </c>
      <c r="B1498" s="0">
        <f>HYPERLINK("https://dl.dropboxusercontent.com/scl/fi/ls72g22kcp9k4mp4qkzik/womens-t-shirt-size-chartsmarilynn-ls.jpg?rlkey=slulh387jipogh9g7au1lewrb&amp;dl=0","Click to download SizeChart")</f>
      </c>
      <c r="C1498" s="0" t="inlineStr">
        <is>
          <t>Marilynn Women's Long Sleeve</t>
        </is>
      </c>
      <c r="D1498" s="1">
        <v>155290</v>
      </c>
      <c r="E1498" s="0" t="inlineStr">
        <is>
          <t>IA MAR2LS W GY:155290D-XL</t>
        </is>
      </c>
      <c r="F1498" s="2">
        <v>800155290079</v>
      </c>
      <c r="G1498" s="0" t="inlineStr">
        <is>
          <t>WOMENS</t>
        </is>
      </c>
      <c r="H1498" s="0" t="inlineStr">
        <is>
          <t>XL</t>
        </is>
      </c>
      <c r="I1498" s="0">
        <v>32.99</v>
      </c>
      <c r="J1498" s="0">
        <v>0</v>
      </c>
    </row>
    <row r="1499" spans="1:10" customHeight="0">
      <c r="A1499" s="0">
        <f>HYPERLINK("https://dl.dropboxusercontent.com/scl/fi/7169hl1c8bzy4jklmxw0q/longsleeve-1308888.jpg?rlkey=rr1hoh7fvmiz30f1u88b7kket&amp;dl=0","Click to download Image")</f>
      </c>
      <c r="B1499" s="0">
        <f>HYPERLINK("https://dl.dropboxusercontent.com/scl/fi/ls72g22kcp9k4mp4qkzik/womens-t-shirt-size-chartsmarilynn-ls.jpg?rlkey=slulh387jipogh9g7au1lewrb&amp;dl=0","Click to download SizeChart")</f>
      </c>
      <c r="C1499" s="0" t="inlineStr">
        <is>
          <t>Marilynn Women's Long Sleeve</t>
        </is>
      </c>
      <c r="D1499" s="1">
        <v>155290</v>
      </c>
      <c r="E1499" s="0" t="inlineStr">
        <is>
          <t>IA MAR2LS W GY:155290E-2XL</t>
        </is>
      </c>
      <c r="F1499" s="2">
        <v>800155290086</v>
      </c>
      <c r="G1499" s="0" t="inlineStr">
        <is>
          <t>WOMENS</t>
        </is>
      </c>
      <c r="H1499" s="0" t="inlineStr">
        <is>
          <t>2XL</t>
        </is>
      </c>
      <c r="I1499" s="0">
        <v>34.99</v>
      </c>
      <c r="J1499" s="0">
        <v>0</v>
      </c>
    </row>
    <row r="1500" spans="1:10" customHeight="0">
      <c r="A1500" s="0">
        <f>HYPERLINK("https://dl.dropboxusercontent.com/scl/fi/7169hl1c8bzy4jklmxw0q/longsleeve-1308888.jpg?rlkey=rr1hoh7fvmiz30f1u88b7kket&amp;dl=0","Click to download Image")</f>
      </c>
      <c r="B1500" s="0">
        <f>HYPERLINK("https://dl.dropboxusercontent.com/scl/fi/ls72g22kcp9k4mp4qkzik/womens-t-shirt-size-chartsmarilynn-ls.jpg?rlkey=slulh387jipogh9g7au1lewrb&amp;dl=0","Click to download SizeChart")</f>
      </c>
      <c r="C1500" s="0" t="inlineStr">
        <is>
          <t>Marilynn Women's Long Sleeve</t>
        </is>
      </c>
      <c r="D1500" s="1">
        <v>155290</v>
      </c>
      <c r="E1500" s="0" t="inlineStr">
        <is>
          <t>IA MAR2LS W GY:155290F-3XL</t>
        </is>
      </c>
      <c r="F1500" s="2">
        <v>800155290093</v>
      </c>
      <c r="G1500" s="0" t="inlineStr">
        <is>
          <t>WOMENS</t>
        </is>
      </c>
      <c r="H1500" s="0" t="inlineStr">
        <is>
          <t>3XL</t>
        </is>
      </c>
      <c r="I1500" s="0">
        <v>34.99</v>
      </c>
      <c r="J1500" s="0">
        <v>0</v>
      </c>
    </row>
    <row r="1501" spans="1:10" customHeight="0">
      <c r="A1501" s="0">
        <f>HYPERLINK("https://dl.dropboxusercontent.com/scl/fi/s66vklcs7152eeh6fqp5s/longsleeve-1440872.jpg?rlkey=sririxume8eu45e7axxpaxc2s&amp;dl=0","Click to download Image")</f>
      </c>
      <c r="B1501" s="0">
        <f>HYPERLINK("https://dl.dropboxusercontent.com/scl/fi/ls72g22kcp9k4mp4qkzik/womens-t-shirt-size-chartsmarilynn-ls.jpg?rlkey=slulh387jipogh9g7au1lewrb&amp;dl=0","Click to download SizeChart")</f>
      </c>
      <c r="C1501" s="0" t="inlineStr">
        <is>
          <t>Marilynn Women's Long Sleeve</t>
        </is>
      </c>
      <c r="D1501" s="1">
        <v>155291</v>
      </c>
      <c r="E1501" s="0" t="inlineStr">
        <is>
          <t>IA MAR2LS W GY:155291A-S</t>
        </is>
      </c>
      <c r="F1501" s="2">
        <v>800155291045</v>
      </c>
      <c r="G1501" s="0" t="inlineStr">
        <is>
          <t>WOMENS</t>
        </is>
      </c>
      <c r="H1501" s="0" t="inlineStr">
        <is>
          <t>S</t>
        </is>
      </c>
      <c r="I1501" s="0">
        <v>32.99</v>
      </c>
      <c r="J1501" s="0">
        <v>3</v>
      </c>
    </row>
    <row r="1502" spans="1:10" customHeight="0">
      <c r="A1502" s="0">
        <f>HYPERLINK("https://dl.dropboxusercontent.com/scl/fi/s66vklcs7152eeh6fqp5s/longsleeve-1440872.jpg?rlkey=sririxume8eu45e7axxpaxc2s&amp;dl=0","Click to download Image")</f>
      </c>
      <c r="B1502" s="0">
        <f>HYPERLINK("https://dl.dropboxusercontent.com/scl/fi/ls72g22kcp9k4mp4qkzik/womens-t-shirt-size-chartsmarilynn-ls.jpg?rlkey=slulh387jipogh9g7au1lewrb&amp;dl=0","Click to download SizeChart")</f>
      </c>
      <c r="C1502" s="0" t="inlineStr">
        <is>
          <t>Marilynn Women's Long Sleeve</t>
        </is>
      </c>
      <c r="D1502" s="1">
        <v>155291</v>
      </c>
      <c r="E1502" s="0" t="inlineStr">
        <is>
          <t>IA MAR2LS W GY:155291B-M</t>
        </is>
      </c>
      <c r="F1502" s="2">
        <v>800155291052</v>
      </c>
      <c r="G1502" s="0" t="inlineStr">
        <is>
          <t>WOMENS</t>
        </is>
      </c>
      <c r="H1502" s="0" t="inlineStr">
        <is>
          <t>M</t>
        </is>
      </c>
      <c r="I1502" s="0">
        <v>32.99</v>
      </c>
      <c r="J1502" s="0">
        <v>8</v>
      </c>
    </row>
    <row r="1503" spans="1:10" customHeight="0">
      <c r="A1503" s="0">
        <f>HYPERLINK("https://dl.dropboxusercontent.com/scl/fi/s66vklcs7152eeh6fqp5s/longsleeve-1440872.jpg?rlkey=sririxume8eu45e7axxpaxc2s&amp;dl=0","Click to download Image")</f>
      </c>
      <c r="B1503" s="0">
        <f>HYPERLINK("https://dl.dropboxusercontent.com/scl/fi/ls72g22kcp9k4mp4qkzik/womens-t-shirt-size-chartsmarilynn-ls.jpg?rlkey=slulh387jipogh9g7au1lewrb&amp;dl=0","Click to download SizeChart")</f>
      </c>
      <c r="C1503" s="0" t="inlineStr">
        <is>
          <t>Marilynn Women's Long Sleeve</t>
        </is>
      </c>
      <c r="D1503" s="1">
        <v>155291</v>
      </c>
      <c r="E1503" s="0" t="inlineStr">
        <is>
          <t>IA MAR2LS W GY:155291C-L</t>
        </is>
      </c>
      <c r="F1503" s="2">
        <v>800155291069</v>
      </c>
      <c r="G1503" s="0" t="inlineStr">
        <is>
          <t>WOMENS</t>
        </is>
      </c>
      <c r="H1503" s="0" t="inlineStr">
        <is>
          <t>L</t>
        </is>
      </c>
      <c r="I1503" s="0">
        <v>32.99</v>
      </c>
      <c r="J1503" s="0">
        <v>8</v>
      </c>
    </row>
    <row r="1504" spans="1:10" customHeight="0">
      <c r="A1504" s="0">
        <f>HYPERLINK("https://dl.dropboxusercontent.com/scl/fi/s66vklcs7152eeh6fqp5s/longsleeve-1440872.jpg?rlkey=sririxume8eu45e7axxpaxc2s&amp;dl=0","Click to download Image")</f>
      </c>
      <c r="B1504" s="0">
        <f>HYPERLINK("https://dl.dropboxusercontent.com/scl/fi/ls72g22kcp9k4mp4qkzik/womens-t-shirt-size-chartsmarilynn-ls.jpg?rlkey=slulh387jipogh9g7au1lewrb&amp;dl=0","Click to download SizeChart")</f>
      </c>
      <c r="C1504" s="0" t="inlineStr">
        <is>
          <t>Marilynn Women's Long Sleeve</t>
        </is>
      </c>
      <c r="D1504" s="1">
        <v>155291</v>
      </c>
      <c r="E1504" s="0" t="inlineStr">
        <is>
          <t>IA MAR2LS W GY:155291D-XL</t>
        </is>
      </c>
      <c r="F1504" s="2">
        <v>800155291076</v>
      </c>
      <c r="G1504" s="0" t="inlineStr">
        <is>
          <t>WOMENS</t>
        </is>
      </c>
      <c r="H1504" s="0" t="inlineStr">
        <is>
          <t>XL</t>
        </is>
      </c>
      <c r="I1504" s="0">
        <v>32.99</v>
      </c>
      <c r="J1504" s="0">
        <v>3</v>
      </c>
    </row>
    <row r="1505" spans="1:10" customHeight="0">
      <c r="A1505" s="0">
        <f>HYPERLINK("https://dl.dropboxusercontent.com/scl/fi/s66vklcs7152eeh6fqp5s/longsleeve-1440872.jpg?rlkey=sririxume8eu45e7axxpaxc2s&amp;dl=0","Click to download Image")</f>
      </c>
      <c r="B1505" s="0">
        <f>HYPERLINK("https://dl.dropboxusercontent.com/scl/fi/ls72g22kcp9k4mp4qkzik/womens-t-shirt-size-chartsmarilynn-ls.jpg?rlkey=slulh387jipogh9g7au1lewrb&amp;dl=0","Click to download SizeChart")</f>
      </c>
      <c r="C1505" s="0" t="inlineStr">
        <is>
          <t>Marilynn Women's Long Sleeve</t>
        </is>
      </c>
      <c r="D1505" s="1">
        <v>155291</v>
      </c>
      <c r="E1505" s="0" t="inlineStr">
        <is>
          <t>IA MAR2LS W GY:155291E-2XL</t>
        </is>
      </c>
      <c r="F1505" s="2">
        <v>800155291083</v>
      </c>
      <c r="G1505" s="0" t="inlineStr">
        <is>
          <t>WOMENS</t>
        </is>
      </c>
      <c r="H1505" s="0" t="inlineStr">
        <is>
          <t>2XL</t>
        </is>
      </c>
      <c r="I1505" s="0">
        <v>34.99</v>
      </c>
      <c r="J1505" s="0">
        <v>2</v>
      </c>
    </row>
    <row r="1506" spans="1:10" customHeight="0">
      <c r="A1506" s="0">
        <f>HYPERLINK("https://dl.dropboxusercontent.com/scl/fi/s66vklcs7152eeh6fqp5s/longsleeve-1440872.jpg?rlkey=sririxume8eu45e7axxpaxc2s&amp;dl=0","Click to download Image")</f>
      </c>
      <c r="B1506" s="0">
        <f>HYPERLINK("https://dl.dropboxusercontent.com/scl/fi/ls72g22kcp9k4mp4qkzik/womens-t-shirt-size-chartsmarilynn-ls.jpg?rlkey=slulh387jipogh9g7au1lewrb&amp;dl=0","Click to download SizeChart")</f>
      </c>
      <c r="C1506" s="0" t="inlineStr">
        <is>
          <t>Marilynn Women's Long Sleeve</t>
        </is>
      </c>
      <c r="D1506" s="1">
        <v>155291</v>
      </c>
      <c r="E1506" s="0" t="inlineStr">
        <is>
          <t>IA MAR2LS W GY:155291F-3XL</t>
        </is>
      </c>
      <c r="F1506" s="2">
        <v>800155291090</v>
      </c>
      <c r="G1506" s="0" t="inlineStr">
        <is>
          <t>WOMENS</t>
        </is>
      </c>
      <c r="H1506" s="0" t="inlineStr">
        <is>
          <t>3XL</t>
        </is>
      </c>
      <c r="I1506" s="0">
        <v>34.99</v>
      </c>
      <c r="J1506" s="0">
        <v>1</v>
      </c>
    </row>
    <row r="1507" spans="1:10" customHeight="0">
      <c r="A1507" s="0">
        <f>HYPERLINK("https://dl.dropboxusercontent.com/scl/fi/ljyuupq8b49hiwmm9hj9z/brent-144390-t.jpg?rlkey=pyu7djo0gkpodxm7pvkwb1p0y&amp;dl=0","Click to download Image")</f>
      </c>
      <c r="C1507" s="0" t="inlineStr">
        <is>
          <t>Brent Men's Performance Polo</t>
        </is>
      </c>
      <c r="D1507" s="1">
        <v>144390</v>
      </c>
      <c r="E1507" s="0" t="inlineStr">
        <is>
          <t>IOWA BRENT M GD:144390A-S</t>
        </is>
      </c>
      <c r="F1507" s="2">
        <v>800144390049</v>
      </c>
      <c r="G1507" s="0" t="inlineStr">
        <is>
          <t>MENS</t>
        </is>
      </c>
      <c r="H1507" s="0" t="inlineStr">
        <is>
          <t>S</t>
        </is>
      </c>
      <c r="I1507" s="0">
        <v>39.99</v>
      </c>
      <c r="J1507" s="0">
        <v>2</v>
      </c>
    </row>
    <row r="1508" spans="1:10" customHeight="0">
      <c r="A1508" s="0">
        <f>HYPERLINK("https://dl.dropboxusercontent.com/scl/fi/tm5yk41sqqjhoefmctmmr/brent-133628t.jpg?rlkey=ekzreirrj06iy6bsyg00guh6q&amp;dl=0","Click to download Image")</f>
      </c>
      <c r="C1508" s="0" t="inlineStr">
        <is>
          <t>Brent Men's Performance Polo</t>
        </is>
      </c>
      <c r="D1508" s="1">
        <v>133628</v>
      </c>
      <c r="E1508" s="0" t="inlineStr">
        <is>
          <t>IOWA BRENT2 M BK:133628A-S</t>
        </is>
      </c>
      <c r="F1508" s="2">
        <v>800133628047</v>
      </c>
      <c r="G1508" s="0" t="inlineStr">
        <is>
          <t>MENS</t>
        </is>
      </c>
      <c r="H1508" s="0" t="inlineStr">
        <is>
          <t>S</t>
        </is>
      </c>
      <c r="I1508" s="0">
        <v>39.99</v>
      </c>
      <c r="J1508" s="0">
        <v>4</v>
      </c>
    </row>
    <row r="1509" spans="1:10" customHeight="0">
      <c r="A1509" s="0">
        <f>HYPERLINK("https://dl.dropboxusercontent.com/scl/fi/tm5yk41sqqjhoefmctmmr/brent-133628t.jpg?rlkey=ekzreirrj06iy6bsyg00guh6q&amp;dl=0","Click to download Image")</f>
      </c>
      <c r="C1509" s="0" t="inlineStr">
        <is>
          <t>Brent Men's Performance Polo</t>
        </is>
      </c>
      <c r="D1509" s="1">
        <v>133628</v>
      </c>
      <c r="E1509" s="0" t="inlineStr">
        <is>
          <t>IOWA BRENT2 M BK:133628B-M</t>
        </is>
      </c>
      <c r="F1509" s="2">
        <v>800133628054</v>
      </c>
      <c r="G1509" s="0" t="inlineStr">
        <is>
          <t>MENS</t>
        </is>
      </c>
      <c r="H1509" s="0" t="inlineStr">
        <is>
          <t>M</t>
        </is>
      </c>
      <c r="I1509" s="0">
        <v>39.99</v>
      </c>
      <c r="J1509" s="0">
        <v>8</v>
      </c>
    </row>
    <row r="1510" spans="1:10" customHeight="0">
      <c r="A1510" s="0">
        <f>HYPERLINK("https://dl.dropboxusercontent.com/scl/fi/tm5yk41sqqjhoefmctmmr/brent-133628t.jpg?rlkey=ekzreirrj06iy6bsyg00guh6q&amp;dl=0","Click to download Image")</f>
      </c>
      <c r="C1510" s="0" t="inlineStr">
        <is>
          <t>Brent Men's Performance Polo</t>
        </is>
      </c>
      <c r="D1510" s="1">
        <v>133628</v>
      </c>
      <c r="E1510" s="0" t="inlineStr">
        <is>
          <t>IOWA BRENT2 M BK:133628C-L</t>
        </is>
      </c>
      <c r="F1510" s="2">
        <v>800133628061</v>
      </c>
      <c r="G1510" s="0" t="inlineStr">
        <is>
          <t>MENS</t>
        </is>
      </c>
      <c r="H1510" s="0" t="inlineStr">
        <is>
          <t>L</t>
        </is>
      </c>
      <c r="I1510" s="0">
        <v>39.99</v>
      </c>
      <c r="J1510" s="0">
        <v>4</v>
      </c>
    </row>
    <row r="1511" spans="1:10" customHeight="0">
      <c r="A1511" s="0">
        <f>HYPERLINK("https://dl.dropboxusercontent.com/scl/fi/tm5yk41sqqjhoefmctmmr/brent-133628t.jpg?rlkey=ekzreirrj06iy6bsyg00guh6q&amp;dl=0","Click to download Image")</f>
      </c>
      <c r="C1511" s="0" t="inlineStr">
        <is>
          <t>Brent Men's Performance Polo</t>
        </is>
      </c>
      <c r="D1511" s="1">
        <v>133628</v>
      </c>
      <c r="E1511" s="0" t="inlineStr">
        <is>
          <t>IOWA BRENT2 M BK:133628D-XL</t>
        </is>
      </c>
      <c r="F1511" s="2">
        <v>800133628078</v>
      </c>
      <c r="G1511" s="0" t="inlineStr">
        <is>
          <t>MENS</t>
        </is>
      </c>
      <c r="H1511" s="0" t="inlineStr">
        <is>
          <t>XL</t>
        </is>
      </c>
      <c r="I1511" s="0">
        <v>39.99</v>
      </c>
      <c r="J1511" s="0">
        <v>8</v>
      </c>
    </row>
    <row r="1512" spans="1:10" customHeight="0">
      <c r="A1512" s="0">
        <f>HYPERLINK("https://dl.dropboxusercontent.com/scl/fi/tm5yk41sqqjhoefmctmmr/brent-133628t.jpg?rlkey=ekzreirrj06iy6bsyg00guh6q&amp;dl=0","Click to download Image")</f>
      </c>
      <c r="C1512" s="0" t="inlineStr">
        <is>
          <t>Brent Men's Performance Polo</t>
        </is>
      </c>
      <c r="D1512" s="1">
        <v>133628</v>
      </c>
      <c r="E1512" s="0" t="inlineStr">
        <is>
          <t>IOWA BRENT2 M BK:133628E-2XL</t>
        </is>
      </c>
      <c r="F1512" s="2">
        <v>800133628085</v>
      </c>
      <c r="G1512" s="0" t="inlineStr">
        <is>
          <t>MENS</t>
        </is>
      </c>
      <c r="H1512" s="0" t="inlineStr">
        <is>
          <t>2XL</t>
        </is>
      </c>
      <c r="I1512" s="0">
        <v>51.99</v>
      </c>
      <c r="J1512" s="0">
        <v>5</v>
      </c>
    </row>
    <row r="1513" spans="1:10" customHeight="0">
      <c r="A1513" s="0">
        <f>HYPERLINK("https://dl.dropboxusercontent.com/scl/fi/tm5yk41sqqjhoefmctmmr/brent-133628t.jpg?rlkey=ekzreirrj06iy6bsyg00guh6q&amp;dl=0","Click to download Image")</f>
      </c>
      <c r="C1513" s="0" t="inlineStr">
        <is>
          <t>Brent Men's Performance Polo</t>
        </is>
      </c>
      <c r="D1513" s="1">
        <v>133628</v>
      </c>
      <c r="E1513" s="0" t="inlineStr">
        <is>
          <t>IOWA BRENT2 M BK:133628F-3XL</t>
        </is>
      </c>
      <c r="F1513" s="2">
        <v>800133628092</v>
      </c>
      <c r="G1513" s="0" t="inlineStr">
        <is>
          <t>MENS</t>
        </is>
      </c>
      <c r="H1513" s="0" t="inlineStr">
        <is>
          <t>3XL</t>
        </is>
      </c>
      <c r="I1513" s="0">
        <v>51.99</v>
      </c>
      <c r="J1513" s="0">
        <v>0</v>
      </c>
    </row>
    <row r="1514" spans="1:10" customHeight="0">
      <c r="A1514" s="0">
        <f>HYPERLINK("https://dl.dropboxusercontent.com/scl/fi/tm5yk41sqqjhoefmctmmr/brent-133628t.jpg?rlkey=ekzreirrj06iy6bsyg00guh6q&amp;dl=0","Click to download Image")</f>
      </c>
      <c r="C1514" s="0" t="inlineStr">
        <is>
          <t>Brent Men's Performance Polo</t>
        </is>
      </c>
      <c r="D1514" s="1">
        <v>133628</v>
      </c>
      <c r="E1514" s="0" t="inlineStr">
        <is>
          <t>IOWA BRENT2 M BK:133628Z-12PK</t>
        </is>
      </c>
      <c r="F1514" s="2">
        <v>800133628993</v>
      </c>
      <c r="G1514" s="0" t="inlineStr">
        <is>
          <t>MENS</t>
        </is>
      </c>
      <c r="H1514" s="0" t="inlineStr">
        <is>
          <t>12 PACK</t>
        </is>
      </c>
      <c r="I1514" s="0">
        <v>388.7</v>
      </c>
      <c r="J1514" s="0">
        <v>0</v>
      </c>
    </row>
    <row r="1515" spans="1:10" customHeight="0">
      <c r="A1515" s="0">
        <f>HYPERLINK("https://dl.dropboxusercontent.com/scl/fi/8x4ip2g57j3ykttt8jx9g/112227f.jpg?rlkey=t0commjduear094jq3tuy5amb&amp;dl=0","Click to download Image")</f>
      </c>
      <c r="C1515" s="0" t="inlineStr">
        <is>
          <t>Brent Men's Performance Polo</t>
        </is>
      </c>
      <c r="D1515" s="1">
        <v>112227</v>
      </c>
      <c r="E1515" s="0" t="inlineStr">
        <is>
          <t>IOWA BRENT BLACK:112227A - S</t>
        </is>
      </c>
      <c r="G1515" s="0" t="inlineStr">
        <is>
          <t>MENS</t>
        </is>
      </c>
      <c r="H1515" s="0" t="inlineStr">
        <is>
          <t>S</t>
        </is>
      </c>
      <c r="I1515" s="0">
        <v>39.99</v>
      </c>
      <c r="J1515" s="0">
        <v>6</v>
      </c>
    </row>
    <row r="1516" spans="1:10" customHeight="0">
      <c r="A1516" s="0">
        <f>HYPERLINK("https://dl.dropboxusercontent.com/scl/fi/8x4ip2g57j3ykttt8jx9g/112227f.jpg?rlkey=t0commjduear094jq3tuy5amb&amp;dl=0","Click to download Image")</f>
      </c>
      <c r="C1516" s="0" t="inlineStr">
        <is>
          <t>Brent Men's Performance Polo</t>
        </is>
      </c>
      <c r="D1516" s="1">
        <v>112227</v>
      </c>
      <c r="E1516" s="0" t="inlineStr">
        <is>
          <t>IOWA BRENT BLACK:112227B - M</t>
        </is>
      </c>
      <c r="G1516" s="0" t="inlineStr">
        <is>
          <t>MENS</t>
        </is>
      </c>
      <c r="H1516" s="0" t="inlineStr">
        <is>
          <t>M</t>
        </is>
      </c>
      <c r="I1516" s="0">
        <v>39.99</v>
      </c>
      <c r="J1516" s="0">
        <v>19</v>
      </c>
    </row>
    <row r="1517" spans="1:10" customHeight="0">
      <c r="A1517" s="0">
        <f>HYPERLINK("https://dl.dropboxusercontent.com/scl/fi/8x4ip2g57j3ykttt8jx9g/112227f.jpg?rlkey=t0commjduear094jq3tuy5amb&amp;dl=0","Click to download Image")</f>
      </c>
      <c r="C1517" s="0" t="inlineStr">
        <is>
          <t>Brent Men's Performance Polo</t>
        </is>
      </c>
      <c r="D1517" s="1">
        <v>112227</v>
      </c>
      <c r="E1517" s="0" t="inlineStr">
        <is>
          <t>IOWA BRENT BLACK:112227C - L</t>
        </is>
      </c>
      <c r="G1517" s="0" t="inlineStr">
        <is>
          <t>MENS</t>
        </is>
      </c>
      <c r="H1517" s="0" t="inlineStr">
        <is>
          <t>L</t>
        </is>
      </c>
      <c r="I1517" s="0">
        <v>39.99</v>
      </c>
      <c r="J1517" s="0">
        <v>19</v>
      </c>
    </row>
    <row r="1518" spans="1:10" customHeight="0">
      <c r="A1518" s="0">
        <f>HYPERLINK("https://dl.dropboxusercontent.com/scl/fi/8x4ip2g57j3ykttt8jx9g/112227f.jpg?rlkey=t0commjduear094jq3tuy5amb&amp;dl=0","Click to download Image")</f>
      </c>
      <c r="C1518" s="0" t="inlineStr">
        <is>
          <t>Brent Men's Performance Polo</t>
        </is>
      </c>
      <c r="D1518" s="1">
        <v>112227</v>
      </c>
      <c r="E1518" s="0" t="inlineStr">
        <is>
          <t>IOWA BRENT BLACK:112227D - XL</t>
        </is>
      </c>
      <c r="G1518" s="0" t="inlineStr">
        <is>
          <t>MENS</t>
        </is>
      </c>
      <c r="H1518" s="0" t="inlineStr">
        <is>
          <t>XL</t>
        </is>
      </c>
      <c r="I1518" s="0">
        <v>39.99</v>
      </c>
      <c r="J1518" s="0">
        <v>15</v>
      </c>
    </row>
    <row r="1519" spans="1:10" customHeight="0">
      <c r="A1519" s="0">
        <f>HYPERLINK("https://dl.dropboxusercontent.com/scl/fi/8x4ip2g57j3ykttt8jx9g/112227f.jpg?rlkey=t0commjduear094jq3tuy5amb&amp;dl=0","Click to download Image")</f>
      </c>
      <c r="C1519" s="0" t="inlineStr">
        <is>
          <t>Brent Men's Performance Polo</t>
        </is>
      </c>
      <c r="D1519" s="1">
        <v>112227</v>
      </c>
      <c r="E1519" s="0" t="inlineStr">
        <is>
          <t>IOWA BRENT BLACK:112227E - 2XL</t>
        </is>
      </c>
      <c r="G1519" s="0" t="inlineStr">
        <is>
          <t>MENS</t>
        </is>
      </c>
      <c r="H1519" s="0" t="inlineStr">
        <is>
          <t>2XL</t>
        </is>
      </c>
      <c r="I1519" s="0">
        <v>43.99</v>
      </c>
      <c r="J1519" s="0">
        <v>8</v>
      </c>
    </row>
    <row r="1520" spans="1:10" customHeight="0">
      <c r="A1520" s="0">
        <f>HYPERLINK("https://dl.dropboxusercontent.com/scl/fi/8x4ip2g57j3ykttt8jx9g/112227f.jpg?rlkey=t0commjduear094jq3tuy5amb&amp;dl=0","Click to download Image")</f>
      </c>
      <c r="C1520" s="0" t="inlineStr">
        <is>
          <t>Brent Men's Performance Polo</t>
        </is>
      </c>
      <c r="D1520" s="1">
        <v>112227</v>
      </c>
      <c r="E1520" s="0" t="inlineStr">
        <is>
          <t>IOWA BRENT BLACK:112227F - 3XL</t>
        </is>
      </c>
      <c r="G1520" s="0" t="inlineStr">
        <is>
          <t>MENS</t>
        </is>
      </c>
      <c r="H1520" s="0" t="inlineStr">
        <is>
          <t>3XL</t>
        </is>
      </c>
      <c r="I1520" s="0">
        <v>43.99</v>
      </c>
      <c r="J1520" s="0">
        <v>6</v>
      </c>
    </row>
    <row r="1521" spans="1:10" customHeight="0">
      <c r="A1521" s="0">
        <f>HYPERLINK("https://dl.dropboxusercontent.com/scl/fi/tf8lbp6euqg4iimea5gf5/112229f.jpg?rlkey=vbehp004p84m7vsxsjfta0kxv&amp;dl=0","Click to download Image")</f>
      </c>
      <c r="C1521" s="0" t="inlineStr">
        <is>
          <t>Brent Men's Performance Polo</t>
        </is>
      </c>
      <c r="D1521" s="1">
        <v>112229</v>
      </c>
      <c r="E1521" s="0" t="inlineStr">
        <is>
          <t>IOWA BRENT GOLD:112229A - S</t>
        </is>
      </c>
      <c r="G1521" s="0" t="inlineStr">
        <is>
          <t>MENS</t>
        </is>
      </c>
      <c r="H1521" s="0" t="inlineStr">
        <is>
          <t>S</t>
        </is>
      </c>
      <c r="I1521" s="0">
        <v>39.99</v>
      </c>
      <c r="J1521" s="0">
        <v>11</v>
      </c>
    </row>
    <row r="1522" spans="1:10" customHeight="0">
      <c r="A1522" s="0">
        <f>HYPERLINK("https://dl.dropboxusercontent.com/scl/fi/tf8lbp6euqg4iimea5gf5/112229f.jpg?rlkey=vbehp004p84m7vsxsjfta0kxv&amp;dl=0","Click to download Image")</f>
      </c>
      <c r="C1522" s="0" t="inlineStr">
        <is>
          <t>Brent Men's Performance Polo</t>
        </is>
      </c>
      <c r="D1522" s="1">
        <v>112229</v>
      </c>
      <c r="E1522" s="0" t="inlineStr">
        <is>
          <t>IOWA BRENT GOLD:112229B - M</t>
        </is>
      </c>
      <c r="G1522" s="0" t="inlineStr">
        <is>
          <t>MENS</t>
        </is>
      </c>
      <c r="H1522" s="0" t="inlineStr">
        <is>
          <t>M</t>
        </is>
      </c>
      <c r="I1522" s="0">
        <v>39.99</v>
      </c>
      <c r="J1522" s="0">
        <v>14</v>
      </c>
    </row>
    <row r="1523" spans="1:10" customHeight="0">
      <c r="A1523" s="0">
        <f>HYPERLINK("https://dl.dropboxusercontent.com/scl/fi/tf8lbp6euqg4iimea5gf5/112229f.jpg?rlkey=vbehp004p84m7vsxsjfta0kxv&amp;dl=0","Click to download Image")</f>
      </c>
      <c r="C1523" s="0" t="inlineStr">
        <is>
          <t>Brent Men's Performance Polo</t>
        </is>
      </c>
      <c r="D1523" s="1">
        <v>112229</v>
      </c>
      <c r="E1523" s="0" t="inlineStr">
        <is>
          <t>IOWA BRENT GOLD:112229C - L</t>
        </is>
      </c>
      <c r="G1523" s="0" t="inlineStr">
        <is>
          <t>MENS</t>
        </is>
      </c>
      <c r="H1523" s="0" t="inlineStr">
        <is>
          <t>L</t>
        </is>
      </c>
      <c r="I1523" s="0">
        <v>39.99</v>
      </c>
      <c r="J1523" s="0">
        <v>0</v>
      </c>
    </row>
    <row r="1524" spans="1:10" customHeight="0">
      <c r="A1524" s="0">
        <f>HYPERLINK("https://dl.dropboxusercontent.com/scl/fi/tf8lbp6euqg4iimea5gf5/112229f.jpg?rlkey=vbehp004p84m7vsxsjfta0kxv&amp;dl=0","Click to download Image")</f>
      </c>
      <c r="C1524" s="0" t="inlineStr">
        <is>
          <t>Brent Men's Performance Polo</t>
        </is>
      </c>
      <c r="D1524" s="1">
        <v>112229</v>
      </c>
      <c r="E1524" s="0" t="inlineStr">
        <is>
          <t>IOWA BRENT GOLD:112229D - XL</t>
        </is>
      </c>
      <c r="G1524" s="0" t="inlineStr">
        <is>
          <t>MENS</t>
        </is>
      </c>
      <c r="H1524" s="0" t="inlineStr">
        <is>
          <t>XL</t>
        </is>
      </c>
      <c r="I1524" s="0">
        <v>39.99</v>
      </c>
      <c r="J1524" s="0">
        <v>28</v>
      </c>
    </row>
    <row r="1525" spans="1:10" customHeight="0">
      <c r="A1525" s="0">
        <f>HYPERLINK("https://dl.dropboxusercontent.com/scl/fi/tf8lbp6euqg4iimea5gf5/112229f.jpg?rlkey=vbehp004p84m7vsxsjfta0kxv&amp;dl=0","Click to download Image")</f>
      </c>
      <c r="C1525" s="0" t="inlineStr">
        <is>
          <t>Brent Men's Performance Polo</t>
        </is>
      </c>
      <c r="D1525" s="1">
        <v>112229</v>
      </c>
      <c r="E1525" s="0" t="inlineStr">
        <is>
          <t>IOWA BRENT GOLD:112229E - 2XL</t>
        </is>
      </c>
      <c r="G1525" s="0" t="inlineStr">
        <is>
          <t>MENS</t>
        </is>
      </c>
      <c r="H1525" s="0" t="inlineStr">
        <is>
          <t>2XL</t>
        </is>
      </c>
      <c r="I1525" s="0">
        <v>41.99</v>
      </c>
      <c r="J1525" s="0">
        <v>0</v>
      </c>
    </row>
    <row r="1526" spans="1:10" customHeight="0">
      <c r="A1526" s="0">
        <f>HYPERLINK("https://dl.dropboxusercontent.com/scl/fi/tf8lbp6euqg4iimea5gf5/112229f.jpg?rlkey=vbehp004p84m7vsxsjfta0kxv&amp;dl=0","Click to download Image")</f>
      </c>
      <c r="C1526" s="0" t="inlineStr">
        <is>
          <t>Brent Men's Performance Polo</t>
        </is>
      </c>
      <c r="D1526" s="1">
        <v>112229</v>
      </c>
      <c r="E1526" s="0" t="inlineStr">
        <is>
          <t>IOWA BRENT GOLD:112229F - 3XL</t>
        </is>
      </c>
      <c r="G1526" s="0" t="inlineStr">
        <is>
          <t>MENS</t>
        </is>
      </c>
      <c r="H1526" s="0" t="inlineStr">
        <is>
          <t>3XL</t>
        </is>
      </c>
      <c r="I1526" s="0">
        <v>41.99</v>
      </c>
      <c r="J1526" s="0">
        <v>13</v>
      </c>
    </row>
    <row r="1527" spans="1:10" customHeight="0">
      <c r="A1527" s="0">
        <f>HYPERLINK("https://dl.dropboxusercontent.com/scl/fi/84xpi4liuxcwro7axx8x3/112238f07081.jpg?rlkey=ynn4rbb3igxkno91f24fv2cu6&amp;dl=0","Click to download Image")</f>
      </c>
      <c r="C1527" s="0" t="inlineStr">
        <is>
          <t>Brent Men's Performance Polo</t>
        </is>
      </c>
      <c r="D1527" s="1">
        <v>112230</v>
      </c>
      <c r="E1527" s="0" t="inlineStr">
        <is>
          <t>IOWA BRENT WHITE:112230A - S</t>
        </is>
      </c>
      <c r="G1527" s="0" t="inlineStr">
        <is>
          <t>MENS</t>
        </is>
      </c>
      <c r="H1527" s="0" t="inlineStr">
        <is>
          <t>S</t>
        </is>
      </c>
      <c r="I1527" s="0">
        <v>39.99</v>
      </c>
      <c r="J1527" s="0">
        <v>15</v>
      </c>
    </row>
    <row r="1528" spans="1:10" customHeight="0">
      <c r="A1528" s="0">
        <f>HYPERLINK("https://dl.dropboxusercontent.com/scl/fi/84xpi4liuxcwro7axx8x3/112238f07081.jpg?rlkey=ynn4rbb3igxkno91f24fv2cu6&amp;dl=0","Click to download Image")</f>
      </c>
      <c r="C1528" s="0" t="inlineStr">
        <is>
          <t>Brent Men's Performance Polo</t>
        </is>
      </c>
      <c r="D1528" s="1">
        <v>112230</v>
      </c>
      <c r="E1528" s="0" t="inlineStr">
        <is>
          <t>IOWA BRENT WHITE:112230B - M</t>
        </is>
      </c>
      <c r="G1528" s="0" t="inlineStr">
        <is>
          <t>MENS</t>
        </is>
      </c>
      <c r="H1528" s="0" t="inlineStr">
        <is>
          <t>M</t>
        </is>
      </c>
      <c r="I1528" s="0">
        <v>39.99</v>
      </c>
      <c r="J1528" s="0">
        <v>29</v>
      </c>
    </row>
    <row r="1529" spans="1:10" customHeight="0">
      <c r="A1529" s="0">
        <f>HYPERLINK("https://dl.dropboxusercontent.com/scl/fi/84xpi4liuxcwro7axx8x3/112238f07081.jpg?rlkey=ynn4rbb3igxkno91f24fv2cu6&amp;dl=0","Click to download Image")</f>
      </c>
      <c r="C1529" s="0" t="inlineStr">
        <is>
          <t>Brent Men's Performance Polo</t>
        </is>
      </c>
      <c r="D1529" s="1">
        <v>112230</v>
      </c>
      <c r="E1529" s="0" t="inlineStr">
        <is>
          <t>IOWA BRENT WHITE:112230C - L</t>
        </is>
      </c>
      <c r="G1529" s="0" t="inlineStr">
        <is>
          <t>MENS</t>
        </is>
      </c>
      <c r="H1529" s="0" t="inlineStr">
        <is>
          <t>L</t>
        </is>
      </c>
      <c r="I1529" s="0">
        <v>39.99</v>
      </c>
      <c r="J1529" s="0">
        <v>43</v>
      </c>
    </row>
    <row r="1530" spans="1:10" customHeight="0">
      <c r="A1530" s="0">
        <f>HYPERLINK("https://dl.dropboxusercontent.com/scl/fi/84xpi4liuxcwro7axx8x3/112238f07081.jpg?rlkey=ynn4rbb3igxkno91f24fv2cu6&amp;dl=0","Click to download Image")</f>
      </c>
      <c r="C1530" s="0" t="inlineStr">
        <is>
          <t>Brent Men's Performance Polo</t>
        </is>
      </c>
      <c r="D1530" s="1">
        <v>112230</v>
      </c>
      <c r="E1530" s="0" t="inlineStr">
        <is>
          <t>IOWA BRENT WHITE:112230D - XL</t>
        </is>
      </c>
      <c r="G1530" s="0" t="inlineStr">
        <is>
          <t>MENS</t>
        </is>
      </c>
      <c r="H1530" s="0" t="inlineStr">
        <is>
          <t>XL</t>
        </is>
      </c>
      <c r="I1530" s="0">
        <v>39.99</v>
      </c>
      <c r="J1530" s="0">
        <v>42</v>
      </c>
    </row>
    <row r="1531" spans="1:10" customHeight="0">
      <c r="A1531" s="0">
        <f>HYPERLINK("https://dl.dropboxusercontent.com/scl/fi/84xpi4liuxcwro7axx8x3/112238f07081.jpg?rlkey=ynn4rbb3igxkno91f24fv2cu6&amp;dl=0","Click to download Image")</f>
      </c>
      <c r="C1531" s="0" t="inlineStr">
        <is>
          <t>Brent Men's Performance Polo</t>
        </is>
      </c>
      <c r="D1531" s="1">
        <v>112230</v>
      </c>
      <c r="E1531" s="0" t="inlineStr">
        <is>
          <t>IOWA BRENT WHITE:112230E - 2XL</t>
        </is>
      </c>
      <c r="G1531" s="0" t="inlineStr">
        <is>
          <t>MENS</t>
        </is>
      </c>
      <c r="H1531" s="0" t="inlineStr">
        <is>
          <t>2XL</t>
        </is>
      </c>
      <c r="I1531" s="0">
        <v>39.99</v>
      </c>
      <c r="J1531" s="0">
        <v>31</v>
      </c>
    </row>
    <row r="1532" spans="1:10" customHeight="0">
      <c r="A1532" s="0">
        <f>HYPERLINK("https://dl.dropboxusercontent.com/scl/fi/84xpi4liuxcwro7axx8x3/112238f07081.jpg?rlkey=ynn4rbb3igxkno91f24fv2cu6&amp;dl=0","Click to download Image")</f>
      </c>
      <c r="C1532" s="0" t="inlineStr">
        <is>
          <t>Brent Men's Performance Polo</t>
        </is>
      </c>
      <c r="D1532" s="1">
        <v>112230</v>
      </c>
      <c r="E1532" s="0" t="inlineStr">
        <is>
          <t>IOWA BRENT WHITE:112230F - 3XL</t>
        </is>
      </c>
      <c r="G1532" s="0" t="inlineStr">
        <is>
          <t>MENS</t>
        </is>
      </c>
      <c r="H1532" s="0" t="inlineStr">
        <is>
          <t>3XL</t>
        </is>
      </c>
      <c r="I1532" s="0">
        <v>39.99</v>
      </c>
      <c r="J1532" s="0">
        <v>16</v>
      </c>
    </row>
    <row r="1533" spans="1:10" customHeight="0">
      <c r="A1533" s="0">
        <f>HYPERLINK("https://dl.dropboxusercontent.com/scl/fi/4pnapnbiyp8z214a349cr/rayne-157439-f.jpg?rlkey=wf9vzddupdy587mvw2slrfmnx&amp;dl=0","Click to download Image")</f>
      </c>
      <c r="C1533" s="0" t="inlineStr">
        <is>
          <t>Rayne Men's Swim Shorts</t>
        </is>
      </c>
      <c r="D1533" s="1">
        <v>157439</v>
      </c>
      <c r="E1533" s="0" t="inlineStr">
        <is>
          <t>IOWA RAYNE M WE:157439A-S</t>
        </is>
      </c>
      <c r="F1533" s="2">
        <v>800157439018</v>
      </c>
      <c r="G1533" s="0" t="inlineStr">
        <is>
          <t>MENS</t>
        </is>
      </c>
      <c r="H1533" s="0" t="inlineStr">
        <is>
          <t>S</t>
        </is>
      </c>
      <c r="I1533" s="0">
        <v>39.99</v>
      </c>
      <c r="J1533" s="0">
        <v>3</v>
      </c>
    </row>
    <row r="1534" spans="1:10" customHeight="0">
      <c r="A1534" s="0">
        <f>HYPERLINK("https://dl.dropboxusercontent.com/scl/fi/4pnapnbiyp8z214a349cr/rayne-157439-f.jpg?rlkey=wf9vzddupdy587mvw2slrfmnx&amp;dl=0","Click to download Image")</f>
      </c>
      <c r="C1534" s="0" t="inlineStr">
        <is>
          <t>Rayne Men's Swim Shorts</t>
        </is>
      </c>
      <c r="D1534" s="1">
        <v>157439</v>
      </c>
      <c r="E1534" s="0" t="inlineStr">
        <is>
          <t>IOWA RAYNE M WE:157439B-M</t>
        </is>
      </c>
      <c r="F1534" s="2">
        <v>800157439025</v>
      </c>
      <c r="G1534" s="0" t="inlineStr">
        <is>
          <t>MENS</t>
        </is>
      </c>
      <c r="H1534" s="0" t="inlineStr">
        <is>
          <t>M</t>
        </is>
      </c>
      <c r="I1534" s="0">
        <v>39.99</v>
      </c>
      <c r="J1534" s="0">
        <v>6</v>
      </c>
    </row>
    <row r="1535" spans="1:10" customHeight="0">
      <c r="A1535" s="0">
        <f>HYPERLINK("https://dl.dropboxusercontent.com/scl/fi/4pnapnbiyp8z214a349cr/rayne-157439-f.jpg?rlkey=wf9vzddupdy587mvw2slrfmnx&amp;dl=0","Click to download Image")</f>
      </c>
      <c r="C1535" s="0" t="inlineStr">
        <is>
          <t>Rayne Men's Swim Shorts</t>
        </is>
      </c>
      <c r="D1535" s="1">
        <v>157439</v>
      </c>
      <c r="E1535" s="0" t="inlineStr">
        <is>
          <t>IOWA RAYNE M WE:157439C-L</t>
        </is>
      </c>
      <c r="F1535" s="2">
        <v>800157439032</v>
      </c>
      <c r="G1535" s="0" t="inlineStr">
        <is>
          <t>MENS</t>
        </is>
      </c>
      <c r="H1535" s="0" t="inlineStr">
        <is>
          <t>L</t>
        </is>
      </c>
      <c r="I1535" s="0">
        <v>39.99</v>
      </c>
      <c r="J1535" s="0">
        <v>9</v>
      </c>
    </row>
    <row r="1536" spans="1:10" customHeight="0">
      <c r="A1536" s="0">
        <f>HYPERLINK("https://dl.dropboxusercontent.com/scl/fi/4pnapnbiyp8z214a349cr/rayne-157439-f.jpg?rlkey=wf9vzddupdy587mvw2slrfmnx&amp;dl=0","Click to download Image")</f>
      </c>
      <c r="C1536" s="0" t="inlineStr">
        <is>
          <t>Rayne Men's Swim Shorts</t>
        </is>
      </c>
      <c r="D1536" s="1">
        <v>157439</v>
      </c>
      <c r="E1536" s="0" t="inlineStr">
        <is>
          <t>IOWA RAYNE M WE:157439D-XL</t>
        </is>
      </c>
      <c r="F1536" s="2">
        <v>800157439049</v>
      </c>
      <c r="G1536" s="0" t="inlineStr">
        <is>
          <t>MENS</t>
        </is>
      </c>
      <c r="H1536" s="0" t="inlineStr">
        <is>
          <t>XL</t>
        </is>
      </c>
      <c r="I1536" s="0">
        <v>39.99</v>
      </c>
      <c r="J1536" s="0">
        <v>9</v>
      </c>
    </row>
    <row r="1537" spans="1:10" customHeight="0">
      <c r="A1537" s="0">
        <f>HYPERLINK("https://dl.dropboxusercontent.com/scl/fi/4pnapnbiyp8z214a349cr/rayne-157439-f.jpg?rlkey=wf9vzddupdy587mvw2slrfmnx&amp;dl=0","Click to download Image")</f>
      </c>
      <c r="C1537" s="0" t="inlineStr">
        <is>
          <t>Rayne Men's Swim Shorts</t>
        </is>
      </c>
      <c r="D1537" s="1">
        <v>157439</v>
      </c>
      <c r="E1537" s="0" t="inlineStr">
        <is>
          <t>IOWA RAYNE M WE:157439E-2XL</t>
        </is>
      </c>
      <c r="F1537" s="2">
        <v>800157439056</v>
      </c>
      <c r="G1537" s="0" t="inlineStr">
        <is>
          <t>MENS</t>
        </is>
      </c>
      <c r="H1537" s="0" t="inlineStr">
        <is>
          <t>2XL</t>
        </is>
      </c>
      <c r="I1537" s="0">
        <v>39.99</v>
      </c>
      <c r="J1537" s="0">
        <v>6</v>
      </c>
    </row>
    <row r="1538" spans="1:10" customHeight="0">
      <c r="A1538" s="0">
        <f>HYPERLINK("https://dl.dropboxusercontent.com/scl/fi/4pnapnbiyp8z214a349cr/rayne-157439-f.jpg?rlkey=wf9vzddupdy587mvw2slrfmnx&amp;dl=0","Click to download Image")</f>
      </c>
      <c r="C1538" s="0" t="inlineStr">
        <is>
          <t>Rayne Men's Swim Shorts</t>
        </is>
      </c>
      <c r="D1538" s="1">
        <v>157439</v>
      </c>
      <c r="E1538" s="0" t="inlineStr">
        <is>
          <t>IOWA RAYNE M WE:157439F-3XL</t>
        </is>
      </c>
      <c r="F1538" s="2">
        <v>800157439063</v>
      </c>
      <c r="G1538" s="0" t="inlineStr">
        <is>
          <t>MENS</t>
        </is>
      </c>
      <c r="H1538" s="0" t="inlineStr">
        <is>
          <t>3XL</t>
        </is>
      </c>
      <c r="I1538" s="0">
        <v>39.99</v>
      </c>
      <c r="J1538" s="0">
        <v>3</v>
      </c>
    </row>
    <row r="1539" spans="1:10" customHeight="0">
      <c r="A1539" s="0">
        <f>HYPERLINK("https://dl.dropboxusercontent.com/scl/fi/4pnapnbiyp8z214a349cr/rayne-157439-f.jpg?rlkey=wf9vzddupdy587mvw2slrfmnx&amp;dl=0","Click to download Image")</f>
      </c>
      <c r="C1539" s="0" t="inlineStr">
        <is>
          <t>Rayne Men's Swim Shorts</t>
        </is>
      </c>
      <c r="D1539" s="1">
        <v>157439</v>
      </c>
      <c r="E1539" s="0" t="inlineStr">
        <is>
          <t>IOWA RAYNE M WE:157439Z-12PK</t>
        </is>
      </c>
      <c r="F1539" s="2">
        <v>800157439995</v>
      </c>
      <c r="G1539" s="0" t="inlineStr">
        <is>
          <t>MENS</t>
        </is>
      </c>
      <c r="H1539" s="0" t="inlineStr">
        <is>
          <t>12 PACK</t>
        </is>
      </c>
      <c r="I1539" s="0">
        <v>390</v>
      </c>
      <c r="J1539" s="0">
        <v>0</v>
      </c>
    </row>
    <row r="1540" spans="1:10" customHeight="0">
      <c r="A1540" s="0">
        <f>HYPERLINK("https://dl.dropboxusercontent.com/scl/fi/sbanouun2mklf3nbouj00/keira-157087-t.jpg?rlkey=w46dmfe61ree9b0wh9e5h9pnq&amp;dl=0","Click to download Image")</f>
      </c>
      <c r="C1540" s="0" t="inlineStr">
        <is>
          <t>Keira Women's Sweatshirt</t>
        </is>
      </c>
      <c r="D1540" s="1">
        <v>157087</v>
      </c>
      <c r="E1540" s="0" t="inlineStr">
        <is>
          <t>IOWA KEIRA W BK:157087A-S</t>
        </is>
      </c>
      <c r="F1540" s="2">
        <v>800157087042</v>
      </c>
      <c r="G1540" s="0" t="inlineStr">
        <is>
          <t>WOMENS</t>
        </is>
      </c>
      <c r="H1540" s="0" t="inlineStr">
        <is>
          <t>S</t>
        </is>
      </c>
      <c r="I1540" s="0">
        <v>59.99</v>
      </c>
      <c r="J1540" s="0">
        <v>-4</v>
      </c>
    </row>
    <row r="1541" spans="1:10" customHeight="0">
      <c r="A1541" s="0">
        <f>HYPERLINK("https://dl.dropboxusercontent.com/scl/fi/sbanouun2mklf3nbouj00/keira-157087-t.jpg?rlkey=w46dmfe61ree9b0wh9e5h9pnq&amp;dl=0","Click to download Image")</f>
      </c>
      <c r="C1541" s="0" t="inlineStr">
        <is>
          <t>Keira Women's Sweatshirt</t>
        </is>
      </c>
      <c r="D1541" s="1">
        <v>157087</v>
      </c>
      <c r="E1541" s="0" t="inlineStr">
        <is>
          <t>IOWA KEIRA W BK:157087B-M</t>
        </is>
      </c>
      <c r="F1541" s="2">
        <v>800157087059</v>
      </c>
      <c r="G1541" s="0" t="inlineStr">
        <is>
          <t>WOMENS</t>
        </is>
      </c>
      <c r="H1541" s="0" t="inlineStr">
        <is>
          <t>M</t>
        </is>
      </c>
      <c r="I1541" s="0">
        <v>59.99</v>
      </c>
      <c r="J1541" s="0">
        <v>-3</v>
      </c>
    </row>
    <row r="1542" spans="1:10" customHeight="0">
      <c r="A1542" s="0">
        <f>HYPERLINK("https://dl.dropboxusercontent.com/scl/fi/sbanouun2mklf3nbouj00/keira-157087-t.jpg?rlkey=w46dmfe61ree9b0wh9e5h9pnq&amp;dl=0","Click to download Image")</f>
      </c>
      <c r="C1542" s="0" t="inlineStr">
        <is>
          <t>Keira Women's Sweatshirt</t>
        </is>
      </c>
      <c r="D1542" s="1">
        <v>157087</v>
      </c>
      <c r="E1542" s="0" t="inlineStr">
        <is>
          <t>IOWA KEIRA W BK:157087C-L</t>
        </is>
      </c>
      <c r="F1542" s="2">
        <v>800157087066</v>
      </c>
      <c r="G1542" s="0" t="inlineStr">
        <is>
          <t>WOMENS</t>
        </is>
      </c>
      <c r="H1542" s="0" t="inlineStr">
        <is>
          <t>L</t>
        </is>
      </c>
      <c r="I1542" s="0">
        <v>59.99</v>
      </c>
      <c r="J1542" s="0">
        <v>0</v>
      </c>
    </row>
    <row r="1543" spans="1:10" customHeight="0">
      <c r="A1543" s="0">
        <f>HYPERLINK("https://dl.dropboxusercontent.com/scl/fi/sbanouun2mklf3nbouj00/keira-157087-t.jpg?rlkey=w46dmfe61ree9b0wh9e5h9pnq&amp;dl=0","Click to download Image")</f>
      </c>
      <c r="C1543" s="0" t="inlineStr">
        <is>
          <t>Keira Women's Sweatshirt</t>
        </is>
      </c>
      <c r="D1543" s="1">
        <v>157087</v>
      </c>
      <c r="E1543" s="0" t="inlineStr">
        <is>
          <t>IOWA KEIRA W BK:157087D-XL</t>
        </is>
      </c>
      <c r="F1543" s="2">
        <v>800157087073</v>
      </c>
      <c r="G1543" s="0" t="inlineStr">
        <is>
          <t>WOMENS</t>
        </is>
      </c>
      <c r="H1543" s="0" t="inlineStr">
        <is>
          <t>XL</t>
        </is>
      </c>
      <c r="I1543" s="0">
        <v>59.99</v>
      </c>
      <c r="J1543" s="0">
        <v>4</v>
      </c>
    </row>
    <row r="1544" spans="1:10" customHeight="0">
      <c r="A1544" s="0">
        <f>HYPERLINK("https://dl.dropboxusercontent.com/scl/fi/sbanouun2mklf3nbouj00/keira-157087-t.jpg?rlkey=w46dmfe61ree9b0wh9e5h9pnq&amp;dl=0","Click to download Image")</f>
      </c>
      <c r="C1544" s="0" t="inlineStr">
        <is>
          <t>Keira Women's Sweatshirt</t>
        </is>
      </c>
      <c r="D1544" s="1">
        <v>157087</v>
      </c>
      <c r="E1544" s="0" t="inlineStr">
        <is>
          <t>IOWA KEIRA W BK:157087E-2XL</t>
        </is>
      </c>
      <c r="F1544" s="2">
        <v>800157087080</v>
      </c>
      <c r="G1544" s="0" t="inlineStr">
        <is>
          <t>WOMENS</t>
        </is>
      </c>
      <c r="H1544" s="0" t="inlineStr">
        <is>
          <t>2XL</t>
        </is>
      </c>
      <c r="I1544" s="0">
        <v>61.99</v>
      </c>
      <c r="J1544" s="0">
        <v>5</v>
      </c>
    </row>
    <row r="1545" spans="1:10" customHeight="0">
      <c r="A1545" s="0">
        <f>HYPERLINK("https://dl.dropboxusercontent.com/scl/fi/sbanouun2mklf3nbouj00/keira-157087-t.jpg?rlkey=w46dmfe61ree9b0wh9e5h9pnq&amp;dl=0","Click to download Image")</f>
      </c>
      <c r="C1545" s="0" t="inlineStr">
        <is>
          <t>Keira Women's Sweatshirt</t>
        </is>
      </c>
      <c r="D1545" s="1">
        <v>157087</v>
      </c>
      <c r="E1545" s="0" t="inlineStr">
        <is>
          <t>IOWA KEIRA W BK:157087F-3XL</t>
        </is>
      </c>
      <c r="F1545" s="2">
        <v>800157087097</v>
      </c>
      <c r="G1545" s="0" t="inlineStr">
        <is>
          <t>WOMENS</t>
        </is>
      </c>
      <c r="H1545" s="0" t="inlineStr">
        <is>
          <t>3XL</t>
        </is>
      </c>
      <c r="I1545" s="0">
        <v>61.99</v>
      </c>
      <c r="J1545" s="0">
        <v>5</v>
      </c>
    </row>
    <row r="1546" spans="1:10" customHeight="0">
      <c r="A1546" s="0">
        <f>HYPERLINK("https://dl.dropboxusercontent.com/scl/fi/sbanouun2mklf3nbouj00/keira-157087-t.jpg?rlkey=w46dmfe61ree9b0wh9e5h9pnq&amp;dl=0","Click to download Image")</f>
      </c>
      <c r="C1546" s="0" t="inlineStr">
        <is>
          <t>Keira Women's Sweatshirt</t>
        </is>
      </c>
      <c r="D1546" s="1">
        <v>157087</v>
      </c>
      <c r="E1546" s="0" t="inlineStr">
        <is>
          <t>IOWA KEIRA W BK:157087Z-12PK</t>
        </is>
      </c>
      <c r="F1546" s="2">
        <v>800157087998</v>
      </c>
      <c r="G1546" s="0" t="inlineStr">
        <is>
          <t>WOMENS</t>
        </is>
      </c>
      <c r="H1546" s="0" t="inlineStr">
        <is>
          <t>12 PACK</t>
        </is>
      </c>
      <c r="I1546" s="0">
        <v>576</v>
      </c>
      <c r="J1546" s="0">
        <v>0</v>
      </c>
    </row>
    <row r="1547" spans="1:10" customHeight="0">
      <c r="A1547" s="0">
        <f>HYPERLINK("https://dl.dropboxusercontent.com/scl/fi/wxgbtpgfdokt2818v0ed6/123025-f21-iowa-addison-youth-beanie-gd-t.jpg?rlkey=iibykac9nuq18gtf0qpkdb9xm&amp;dl=0","Click to download Image")</f>
      </c>
      <c r="C1547" s="0" t="inlineStr">
        <is>
          <t>Addison Youth Beanie</t>
        </is>
      </c>
      <c r="D1547" s="1">
        <v>123025</v>
      </c>
      <c r="E1547" s="0" t="inlineStr">
        <is>
          <t>IOWA ADDISO Y GD:123025</t>
        </is>
      </c>
      <c r="F1547" s="2">
        <v>700123025019</v>
      </c>
      <c r="G1547" s="0" t="inlineStr">
        <is>
          <t>YOUTH</t>
        </is>
      </c>
      <c r="H1547" s="0" t="inlineStr">
        <is>
          <t>YOUTH</t>
        </is>
      </c>
      <c r="I1547" s="0">
        <v>29.99</v>
      </c>
      <c r="J1547" s="0">
        <v>225</v>
      </c>
    </row>
    <row r="1548" spans="1:10" customHeight="0">
      <c r="A1548" s="0">
        <f>HYPERLINK("https://dl.dropboxusercontent.com/scl/fi/ttfskjmsp24666kpb1bbk/123025-f21-iowa-addison-youth-beanie-gd-t.jpg?rlkey=bna2l8v56j8xfq7w0k2cdoqht&amp;dl=0","Click to download Image")</f>
      </c>
      <c r="C1548" s="0" t="inlineStr">
        <is>
          <t>Addison Toddler Beanie</t>
        </is>
      </c>
      <c r="D1548" s="1">
        <v>123016</v>
      </c>
      <c r="E1548" s="0" t="inlineStr">
        <is>
          <t>IOWA ADDISO T GD:123016</t>
        </is>
      </c>
      <c r="F1548" s="2">
        <v>700123016017</v>
      </c>
      <c r="G1548" s="0" t="inlineStr">
        <is>
          <t>TODDLER</t>
        </is>
      </c>
      <c r="H1548" s="0" t="inlineStr">
        <is>
          <t>TODDLER</t>
        </is>
      </c>
      <c r="I1548" s="0">
        <v>29.99</v>
      </c>
      <c r="J1548" s="0">
        <v>243</v>
      </c>
    </row>
    <row r="1549" spans="1:10" customHeight="0">
      <c r="A1549" s="0">
        <f>HYPERLINK("https://dl.dropboxusercontent.com/scl/fi/lou55x7qi8o46m9425ue7/123025-f21-iowa-addison-youth-beanie-gd-t.jpg?rlkey=1oe4pgt9e7m7tb4k1jxvlhw74&amp;dl=0","Click to download Image")</f>
      </c>
      <c r="C1549" s="0" t="inlineStr">
        <is>
          <t>Addison Infant Beanie</t>
        </is>
      </c>
      <c r="D1549" s="1">
        <v>123003</v>
      </c>
      <c r="E1549" s="0" t="inlineStr">
        <is>
          <t>IOWA ADDISO I GD:123003</t>
        </is>
      </c>
      <c r="F1549" s="2">
        <v>700123003017</v>
      </c>
      <c r="G1549" s="0" t="inlineStr">
        <is>
          <t>INFANT</t>
        </is>
      </c>
      <c r="H1549" s="0" t="inlineStr">
        <is>
          <t>INFANT</t>
        </is>
      </c>
      <c r="I1549" s="0">
        <v>29.99</v>
      </c>
      <c r="J1549" s="0">
        <v>50</v>
      </c>
    </row>
    <row r="1550" spans="1:10" customHeight="0">
      <c r="A1550" s="0">
        <f>HYPERLINK("https://dl.dropboxusercontent.com/scl/fi/azowqqw2brfislyrgs4cb/151426-iowa-addison-infant-beanie-alt-blk-gry-set-t.jpg?rlkey=1ou8av5h2emkuk6u9pw3r384y&amp;dl=0","Click to download Image")</f>
      </c>
      <c r="C1550" s="0" t="inlineStr">
        <is>
          <t>Addison Infant Beanie</t>
        </is>
      </c>
      <c r="D1550" s="1">
        <v>151426</v>
      </c>
      <c r="E1550" s="0" t="inlineStr">
        <is>
          <t>IOWA ADDISO I BK:151426</t>
        </is>
      </c>
      <c r="F1550" s="2">
        <v>700151426017</v>
      </c>
      <c r="G1550" s="0" t="inlineStr">
        <is>
          <t>INFANT</t>
        </is>
      </c>
      <c r="H1550" s="0" t="inlineStr">
        <is>
          <t>INFANT</t>
        </is>
      </c>
      <c r="I1550" s="0">
        <v>29.99</v>
      </c>
      <c r="J1550" s="0">
        <v>54</v>
      </c>
    </row>
    <row r="1551" spans="1:10" customHeight="0">
      <c r="A1551" s="0">
        <f>HYPERLINK("https://dl.dropboxusercontent.com/scl/fi/f5w0yfir2o2908jsn6om0/rynn-156210-f2.jpg?rlkey=ny1fmf1y5e1irnxc3d52iawz8&amp;dl=0","Click to download Image")</f>
      </c>
      <c r="C1551" s="0" t="inlineStr">
        <is>
          <t>Rynn Clear Sling Bag - Stadium Approved</t>
        </is>
      </c>
      <c r="D1551" s="1">
        <v>156210</v>
      </c>
      <c r="E1551" s="0" t="inlineStr">
        <is>
          <t>IOWA RYNN BK:156210</t>
        </is>
      </c>
      <c r="F1551" s="2">
        <v>900156210011</v>
      </c>
      <c r="H1551" s="0" t="inlineStr">
        <is>
          <t>OS</t>
        </is>
      </c>
      <c r="I1551" s="0">
        <v>29.99</v>
      </c>
      <c r="J1551" s="0">
        <v>1</v>
      </c>
    </row>
    <row r="1552" spans="1:10" customHeight="0">
      <c r="A1552" s="0">
        <f>HYPERLINK("https://dl.dropboxusercontent.com/scl/fi/jdw9mczl04bki3wskevtk/gaines-150473-f.jpg?rlkey=v63vaj2ql7mszyfnhejm5xo21&amp;dl=0","Click to download Image")</f>
      </c>
      <c r="C1552" s="0" t="inlineStr">
        <is>
          <t>Gaines Men's Crewneck</t>
        </is>
      </c>
      <c r="D1552" s="1">
        <v>150473</v>
      </c>
      <c r="E1552" s="0" t="inlineStr">
        <is>
          <t>IOWA GAINES M HG:150473A-S</t>
        </is>
      </c>
      <c r="F1552" s="2">
        <v>800150473040</v>
      </c>
      <c r="G1552" s="0" t="inlineStr">
        <is>
          <t>MENS</t>
        </is>
      </c>
      <c r="H1552" s="0" t="inlineStr">
        <is>
          <t>S</t>
        </is>
      </c>
      <c r="I1552" s="0">
        <v>46.99</v>
      </c>
      <c r="J1552" s="0">
        <v>0</v>
      </c>
    </row>
    <row r="1553" spans="1:10" customHeight="0">
      <c r="A1553" s="0">
        <f>HYPERLINK("https://dl.dropboxusercontent.com/scl/fi/jdw9mczl04bki3wskevtk/gaines-150473-f.jpg?rlkey=v63vaj2ql7mszyfnhejm5xo21&amp;dl=0","Click to download Image")</f>
      </c>
      <c r="C1553" s="0" t="inlineStr">
        <is>
          <t>Gaines Men's Crewneck</t>
        </is>
      </c>
      <c r="D1553" s="1">
        <v>150473</v>
      </c>
      <c r="E1553" s="0" t="inlineStr">
        <is>
          <t>IOWA GAINES M HG:150473B-M</t>
        </is>
      </c>
      <c r="F1553" s="2">
        <v>800150473057</v>
      </c>
      <c r="G1553" s="0" t="inlineStr">
        <is>
          <t>MENS</t>
        </is>
      </c>
      <c r="H1553" s="0" t="inlineStr">
        <is>
          <t>M</t>
        </is>
      </c>
      <c r="I1553" s="0">
        <v>46.99</v>
      </c>
      <c r="J1553" s="0">
        <v>19</v>
      </c>
    </row>
    <row r="1554" spans="1:10" customHeight="0">
      <c r="A1554" s="0">
        <f>HYPERLINK("https://dl.dropboxusercontent.com/scl/fi/jdw9mczl04bki3wskevtk/gaines-150473-f.jpg?rlkey=v63vaj2ql7mszyfnhejm5xo21&amp;dl=0","Click to download Image")</f>
      </c>
      <c r="C1554" s="0" t="inlineStr">
        <is>
          <t>Gaines Men's Crewneck</t>
        </is>
      </c>
      <c r="D1554" s="1">
        <v>150473</v>
      </c>
      <c r="E1554" s="0" t="inlineStr">
        <is>
          <t>IOWA GAINES M HG:150473C-L</t>
        </is>
      </c>
      <c r="F1554" s="2">
        <v>800150473064</v>
      </c>
      <c r="G1554" s="0" t="inlineStr">
        <is>
          <t>MENS</t>
        </is>
      </c>
      <c r="H1554" s="0" t="inlineStr">
        <is>
          <t>L</t>
        </is>
      </c>
      <c r="I1554" s="0">
        <v>46.99</v>
      </c>
      <c r="J1554" s="0">
        <v>40</v>
      </c>
    </row>
    <row r="1555" spans="1:10" customHeight="0">
      <c r="A1555" s="0">
        <f>HYPERLINK("https://dl.dropboxusercontent.com/scl/fi/jdw9mczl04bki3wskevtk/gaines-150473-f.jpg?rlkey=v63vaj2ql7mszyfnhejm5xo21&amp;dl=0","Click to download Image")</f>
      </c>
      <c r="C1555" s="0" t="inlineStr">
        <is>
          <t>Gaines Men's Crewneck</t>
        </is>
      </c>
      <c r="D1555" s="1">
        <v>150473</v>
      </c>
      <c r="E1555" s="0" t="inlineStr">
        <is>
          <t>IOWA GAINES M HG:150473D-XL</t>
        </is>
      </c>
      <c r="F1555" s="2">
        <v>800150473071</v>
      </c>
      <c r="G1555" s="0" t="inlineStr">
        <is>
          <t>MENS</t>
        </is>
      </c>
      <c r="H1555" s="0" t="inlineStr">
        <is>
          <t>XL</t>
        </is>
      </c>
      <c r="I1555" s="0">
        <v>46.99</v>
      </c>
      <c r="J1555" s="0">
        <v>4</v>
      </c>
    </row>
    <row r="1556" spans="1:10" customHeight="0">
      <c r="A1556" s="0">
        <f>HYPERLINK("https://dl.dropboxusercontent.com/scl/fi/jdw9mczl04bki3wskevtk/gaines-150473-f.jpg?rlkey=v63vaj2ql7mszyfnhejm5xo21&amp;dl=0","Click to download Image")</f>
      </c>
      <c r="C1556" s="0" t="inlineStr">
        <is>
          <t>Gaines Men's Crewneck</t>
        </is>
      </c>
      <c r="D1556" s="1">
        <v>150473</v>
      </c>
      <c r="E1556" s="0" t="inlineStr">
        <is>
          <t>IOWA GAINES M HG:150473E-2XL</t>
        </is>
      </c>
      <c r="F1556" s="2">
        <v>800150473088</v>
      </c>
      <c r="G1556" s="0" t="inlineStr">
        <is>
          <t>MENS</t>
        </is>
      </c>
      <c r="H1556" s="0" t="inlineStr">
        <is>
          <t>2XL</t>
        </is>
      </c>
      <c r="I1556" s="0">
        <v>46.99</v>
      </c>
      <c r="J1556" s="0">
        <v>12</v>
      </c>
    </row>
    <row r="1557" spans="1:10" customHeight="0">
      <c r="A1557" s="0">
        <f>HYPERLINK("https://dl.dropboxusercontent.com/scl/fi/jdw9mczl04bki3wskevtk/gaines-150473-f.jpg?rlkey=v63vaj2ql7mszyfnhejm5xo21&amp;dl=0","Click to download Image")</f>
      </c>
      <c r="C1557" s="0" t="inlineStr">
        <is>
          <t>Gaines Men's Crewneck</t>
        </is>
      </c>
      <c r="D1557" s="1">
        <v>150473</v>
      </c>
      <c r="E1557" s="0" t="inlineStr">
        <is>
          <t>IOWA GAINES M HG:150473F-3XL</t>
        </is>
      </c>
      <c r="F1557" s="2">
        <v>800150473095</v>
      </c>
      <c r="G1557" s="0" t="inlineStr">
        <is>
          <t>MENS</t>
        </is>
      </c>
      <c r="H1557" s="0" t="inlineStr">
        <is>
          <t>3XL</t>
        </is>
      </c>
      <c r="I1557" s="0">
        <v>46.99</v>
      </c>
      <c r="J1557" s="0">
        <v>14</v>
      </c>
    </row>
    <row r="1558" spans="1:10" customHeight="0">
      <c r="A1558" s="0">
        <f>HYPERLINK("https://dl.dropboxusercontent.com/scl/fi/i1pna09c3hb1mstd8z9e2/gaines-150471-f.jpg?rlkey=fwbsg78z52d03kn77s80oz3n1&amp;dl=0","Click to download Image")</f>
      </c>
      <c r="C1558" s="0" t="inlineStr">
        <is>
          <t>Gaines Men's Crewneck</t>
        </is>
      </c>
      <c r="D1558" s="1">
        <v>150471</v>
      </c>
      <c r="E1558" s="0" t="inlineStr">
        <is>
          <t>IOWA GAINES M BK:150471A-S</t>
        </is>
      </c>
      <c r="F1558" s="2">
        <v>800150471046</v>
      </c>
      <c r="G1558" s="0" t="inlineStr">
        <is>
          <t>MENS</t>
        </is>
      </c>
      <c r="H1558" s="0" t="inlineStr">
        <is>
          <t>S</t>
        </is>
      </c>
      <c r="I1558" s="0">
        <v>46.99</v>
      </c>
      <c r="J1558" s="0">
        <v>15</v>
      </c>
    </row>
    <row r="1559" spans="1:10" customHeight="0">
      <c r="A1559" s="0">
        <f>HYPERLINK("https://dl.dropboxusercontent.com/scl/fi/i1pna09c3hb1mstd8z9e2/gaines-150471-f.jpg?rlkey=fwbsg78z52d03kn77s80oz3n1&amp;dl=0","Click to download Image")</f>
      </c>
      <c r="C1559" s="0" t="inlineStr">
        <is>
          <t>Gaines Men's Crewneck</t>
        </is>
      </c>
      <c r="D1559" s="1">
        <v>150471</v>
      </c>
      <c r="E1559" s="0" t="inlineStr">
        <is>
          <t>IOWA GAINES M BK:150471B-M</t>
        </is>
      </c>
      <c r="F1559" s="2">
        <v>800150471053</v>
      </c>
      <c r="G1559" s="0" t="inlineStr">
        <is>
          <t>MENS</t>
        </is>
      </c>
      <c r="H1559" s="0" t="inlineStr">
        <is>
          <t>M</t>
        </is>
      </c>
      <c r="I1559" s="0">
        <v>46.99</v>
      </c>
      <c r="J1559" s="0">
        <v>33</v>
      </c>
    </row>
    <row r="1560" spans="1:10" customHeight="0">
      <c r="A1560" s="0">
        <f>HYPERLINK("https://dl.dropboxusercontent.com/scl/fi/i1pna09c3hb1mstd8z9e2/gaines-150471-f.jpg?rlkey=fwbsg78z52d03kn77s80oz3n1&amp;dl=0","Click to download Image")</f>
      </c>
      <c r="C1560" s="0" t="inlineStr">
        <is>
          <t>Gaines Men's Crewneck</t>
        </is>
      </c>
      <c r="D1560" s="1">
        <v>150471</v>
      </c>
      <c r="E1560" s="0" t="inlineStr">
        <is>
          <t>IOWA GAINES M BK:150471C-L</t>
        </is>
      </c>
      <c r="F1560" s="2">
        <v>800150471060</v>
      </c>
      <c r="G1560" s="0" t="inlineStr">
        <is>
          <t>MENS</t>
        </is>
      </c>
      <c r="H1560" s="0" t="inlineStr">
        <is>
          <t>L</t>
        </is>
      </c>
      <c r="I1560" s="0">
        <v>46.99</v>
      </c>
      <c r="J1560" s="0">
        <v>35</v>
      </c>
    </row>
    <row r="1561" spans="1:10" customHeight="0">
      <c r="A1561" s="0">
        <f>HYPERLINK("https://dl.dropboxusercontent.com/scl/fi/i1pna09c3hb1mstd8z9e2/gaines-150471-f.jpg?rlkey=fwbsg78z52d03kn77s80oz3n1&amp;dl=0","Click to download Image")</f>
      </c>
      <c r="C1561" s="0" t="inlineStr">
        <is>
          <t>Gaines Men's Crewneck</t>
        </is>
      </c>
      <c r="D1561" s="1">
        <v>150471</v>
      </c>
      <c r="E1561" s="0" t="inlineStr">
        <is>
          <t>IOWA GAINES M BK:150471D-XL</t>
        </is>
      </c>
      <c r="F1561" s="2">
        <v>800150471077</v>
      </c>
      <c r="G1561" s="0" t="inlineStr">
        <is>
          <t>MENS</t>
        </is>
      </c>
      <c r="H1561" s="0" t="inlineStr">
        <is>
          <t>XL</t>
        </is>
      </c>
      <c r="I1561" s="0">
        <v>46.99</v>
      </c>
      <c r="J1561" s="0">
        <v>46</v>
      </c>
    </row>
    <row r="1562" spans="1:10" customHeight="0">
      <c r="A1562" s="0">
        <f>HYPERLINK("https://dl.dropboxusercontent.com/scl/fi/i1pna09c3hb1mstd8z9e2/gaines-150471-f.jpg?rlkey=fwbsg78z52d03kn77s80oz3n1&amp;dl=0","Click to download Image")</f>
      </c>
      <c r="C1562" s="0" t="inlineStr">
        <is>
          <t>Gaines Men's Crewneck</t>
        </is>
      </c>
      <c r="D1562" s="1">
        <v>150471</v>
      </c>
      <c r="E1562" s="0" t="inlineStr">
        <is>
          <t>IOWA GAINES M BK:150471E-2XL</t>
        </is>
      </c>
      <c r="F1562" s="2">
        <v>800150471084</v>
      </c>
      <c r="G1562" s="0" t="inlineStr">
        <is>
          <t>MENS</t>
        </is>
      </c>
      <c r="H1562" s="0" t="inlineStr">
        <is>
          <t>2XL</t>
        </is>
      </c>
      <c r="I1562" s="0">
        <v>46.99</v>
      </c>
      <c r="J1562" s="0">
        <v>28</v>
      </c>
    </row>
    <row r="1563" spans="1:10" customHeight="0">
      <c r="A1563" s="0">
        <f>HYPERLINK("https://dl.dropboxusercontent.com/scl/fi/i1pna09c3hb1mstd8z9e2/gaines-150471-f.jpg?rlkey=fwbsg78z52d03kn77s80oz3n1&amp;dl=0","Click to download Image")</f>
      </c>
      <c r="C1563" s="0" t="inlineStr">
        <is>
          <t>Gaines Men's Crewneck</t>
        </is>
      </c>
      <c r="D1563" s="1">
        <v>150471</v>
      </c>
      <c r="E1563" s="0" t="inlineStr">
        <is>
          <t>IOWA GAINES M BK:150471F-3XL</t>
        </is>
      </c>
      <c r="F1563" s="2">
        <v>800150471091</v>
      </c>
      <c r="G1563" s="0" t="inlineStr">
        <is>
          <t>MENS</t>
        </is>
      </c>
      <c r="H1563" s="0" t="inlineStr">
        <is>
          <t>3XL</t>
        </is>
      </c>
      <c r="I1563" s="0">
        <v>46.99</v>
      </c>
      <c r="J1563" s="0">
        <v>12</v>
      </c>
    </row>
    <row r="1564" spans="1:10" customHeight="0">
      <c r="A1564" s="0">
        <f>HYPERLINK("https://dl.dropboxusercontent.com/scl/fi/dhbsuqudzccrd9s9jmv7o/jonah-157377-af.jpg?rlkey=my2ix1ganew0z7z6wepg1y3tu&amp;dl=0","Click to download Image")</f>
      </c>
      <c r="C1564" s="0" t="inlineStr">
        <is>
          <t>Jonah Toddler Cap</t>
        </is>
      </c>
      <c r="D1564" s="1">
        <v>157602</v>
      </c>
      <c r="E1564" s="0" t="inlineStr">
        <is>
          <t>IOWA JONAH T GD:157602</t>
        </is>
      </c>
      <c r="F1564" s="2">
        <v>700157602040</v>
      </c>
      <c r="G1564" s="0" t="inlineStr">
        <is>
          <t>TODDLER</t>
        </is>
      </c>
      <c r="H1564" s="0" t="inlineStr">
        <is>
          <t>TODDLER</t>
        </is>
      </c>
      <c r="I1564" s="0">
        <v>24.99</v>
      </c>
      <c r="J1564" s="0">
        <v>4</v>
      </c>
    </row>
    <row r="1565" spans="1:10" customHeight="0">
      <c r="A1565" s="0">
        <f>HYPERLINK("https://dl.dropboxusercontent.com/scl/fi/7e1518l19rgoos5cradtr/scranton.jpg?rlkey=1hneutzhu0o4g9vllz7xg1gbs&amp;dl=0","Click to download Image")</f>
      </c>
      <c r="B1565" s="0">
        <f>HYPERLINK("https://dl.dropboxusercontent.com/scl/fi/f348h8gp3s44estaugatl/graphic-update22022-infant.jpg?rlkey=l6y4qrbl82a0cfdowhhvlq5z6&amp;dl=0","Click to download SizeChart")</f>
      </c>
      <c r="C1565" s="0" t="inlineStr">
        <is>
          <t>Scranton Infant Bodysuit</t>
        </is>
      </c>
      <c r="D1565" s="1">
        <v>110492</v>
      </c>
      <c r="E1565" s="0" t="inlineStr">
        <is>
          <t>IOWA SCRANTON GOLD:110492A - 0-3M</t>
        </is>
      </c>
      <c r="F1565" s="2">
        <v>800110492005</v>
      </c>
      <c r="G1565" s="0" t="inlineStr">
        <is>
          <t>INFANT</t>
        </is>
      </c>
      <c r="H1565" s="0" t="inlineStr">
        <is>
          <t>0-3M</t>
        </is>
      </c>
      <c r="I1565" s="0">
        <v>24.99</v>
      </c>
      <c r="J1565" s="0">
        <v>8</v>
      </c>
    </row>
    <row r="1566" spans="1:10" customHeight="0">
      <c r="A1566" s="0">
        <f>HYPERLINK("https://dl.dropboxusercontent.com/scl/fi/7e1518l19rgoos5cradtr/scranton.jpg?rlkey=1hneutzhu0o4g9vllz7xg1gbs&amp;dl=0","Click to download Image")</f>
      </c>
      <c r="B1566" s="0">
        <f>HYPERLINK("https://dl.dropboxusercontent.com/scl/fi/f348h8gp3s44estaugatl/graphic-update22022-infant.jpg?rlkey=l6y4qrbl82a0cfdowhhvlq5z6&amp;dl=0","Click to download SizeChart")</f>
      </c>
      <c r="C1566" s="0" t="inlineStr">
        <is>
          <t>Scranton Infant Bodysuit</t>
        </is>
      </c>
      <c r="D1566" s="1">
        <v>110492</v>
      </c>
      <c r="E1566" s="0" t="inlineStr">
        <is>
          <t>IOWA SCRANTON GOLD:110492B - 3-6M</t>
        </is>
      </c>
      <c r="F1566" s="2">
        <v>800110492012</v>
      </c>
      <c r="G1566" s="0" t="inlineStr">
        <is>
          <t>INFANT</t>
        </is>
      </c>
      <c r="H1566" s="0" t="inlineStr">
        <is>
          <t>3-6M</t>
        </is>
      </c>
      <c r="I1566" s="0">
        <v>24.99</v>
      </c>
      <c r="J1566" s="0">
        <v>4</v>
      </c>
    </row>
    <row r="1567" spans="1:10" customHeight="0">
      <c r="A1567" s="0">
        <f>HYPERLINK("https://dl.dropboxusercontent.com/scl/fi/7e1518l19rgoos5cradtr/scranton.jpg?rlkey=1hneutzhu0o4g9vllz7xg1gbs&amp;dl=0","Click to download Image")</f>
      </c>
      <c r="B1567" s="0">
        <f>HYPERLINK("https://dl.dropboxusercontent.com/scl/fi/f348h8gp3s44estaugatl/graphic-update22022-infant.jpg?rlkey=l6y4qrbl82a0cfdowhhvlq5z6&amp;dl=0","Click to download SizeChart")</f>
      </c>
      <c r="C1567" s="0" t="inlineStr">
        <is>
          <t>Scranton Infant Bodysuit</t>
        </is>
      </c>
      <c r="D1567" s="1">
        <v>110492</v>
      </c>
      <c r="E1567" s="0" t="inlineStr">
        <is>
          <t>IOWA SCRANTON GOLD:110492C - 6-9M</t>
        </is>
      </c>
      <c r="F1567" s="2">
        <v>800110492029</v>
      </c>
      <c r="G1567" s="0" t="inlineStr">
        <is>
          <t>INFANT</t>
        </is>
      </c>
      <c r="H1567" s="0" t="inlineStr">
        <is>
          <t>6-9M</t>
        </is>
      </c>
      <c r="I1567" s="0">
        <v>24.99</v>
      </c>
      <c r="J1567" s="0">
        <v>0</v>
      </c>
    </row>
    <row r="1568" spans="1:10" customHeight="0">
      <c r="A1568" s="0">
        <f>HYPERLINK("https://dl.dropboxusercontent.com/scl/fi/7e1518l19rgoos5cradtr/scranton.jpg?rlkey=1hneutzhu0o4g9vllz7xg1gbs&amp;dl=0","Click to download Image")</f>
      </c>
      <c r="B1568" s="0">
        <f>HYPERLINK("https://dl.dropboxusercontent.com/scl/fi/f348h8gp3s44estaugatl/graphic-update22022-infant.jpg?rlkey=l6y4qrbl82a0cfdowhhvlq5z6&amp;dl=0","Click to download SizeChart")</f>
      </c>
      <c r="C1568" s="0" t="inlineStr">
        <is>
          <t>Scranton Infant Bodysuit</t>
        </is>
      </c>
      <c r="D1568" s="1">
        <v>110492</v>
      </c>
      <c r="E1568" s="0" t="inlineStr">
        <is>
          <t>IOWA SCRANTON GOLD:110492F - 12M</t>
        </is>
      </c>
      <c r="F1568" s="2">
        <v>800110492036</v>
      </c>
      <c r="G1568" s="0" t="inlineStr">
        <is>
          <t>INFANT</t>
        </is>
      </c>
      <c r="H1568" s="0" t="inlineStr">
        <is>
          <t>12M</t>
        </is>
      </c>
      <c r="I1568" s="0">
        <v>24.99</v>
      </c>
      <c r="J1568" s="0">
        <v>5</v>
      </c>
    </row>
    <row r="1569" spans="1:10" customHeight="0">
      <c r="A1569" s="0">
        <f>HYPERLINK("https://dl.dropboxusercontent.com/scl/fi/erst8o41n33haumdfnjds/screenshot2023-08-30at3.31.16pm23799.png?rlkey=us7lkp6lgjr0lroh4loso0fly&amp;dl=0","Click to download Image")</f>
      </c>
      <c r="B1569" s="0">
        <f>HYPERLINK("https://dl.dropboxusercontent.com/scl/fi/mnteemb25om6eu82p53gh/mens-t-shirt-size-chartsslate-cason.jpg?rlkey=z0ztv3mzbt2w0vo15xbj4e4fx&amp;dl=0","Click to download SizeChart")</f>
      </c>
      <c r="C1569" s="0" t="inlineStr">
        <is>
          <t>Slate Men's Flying Herky T-Shirt</t>
        </is>
      </c>
      <c r="D1569" s="1">
        <v>144233</v>
      </c>
      <c r="E1569" s="0" t="inlineStr">
        <is>
          <t>MTO SLATE M BK:144233A-S</t>
        </is>
      </c>
      <c r="F1569" s="2">
        <v>800144233049</v>
      </c>
      <c r="G1569" s="0" t="inlineStr">
        <is>
          <t>MENS</t>
        </is>
      </c>
      <c r="H1569" s="0" t="inlineStr">
        <is>
          <t>S</t>
        </is>
      </c>
      <c r="I1569" s="0">
        <v>29.99</v>
      </c>
      <c r="J1569" s="0">
        <v>166</v>
      </c>
    </row>
    <row r="1570" spans="1:10" customHeight="0">
      <c r="A1570" s="0">
        <f>HYPERLINK("https://dl.dropboxusercontent.com/scl/fi/erst8o41n33haumdfnjds/screenshot2023-08-30at3.31.16pm23799.png?rlkey=us7lkp6lgjr0lroh4loso0fly&amp;dl=0","Click to download Image")</f>
      </c>
      <c r="B1570" s="0">
        <f>HYPERLINK("https://dl.dropboxusercontent.com/scl/fi/mnteemb25om6eu82p53gh/mens-t-shirt-size-chartsslate-cason.jpg?rlkey=z0ztv3mzbt2w0vo15xbj4e4fx&amp;dl=0","Click to download SizeChart")</f>
      </c>
      <c r="C1570" s="0" t="inlineStr">
        <is>
          <t>Slate Men's Flying Herky T-Shirt</t>
        </is>
      </c>
      <c r="D1570" s="1">
        <v>144233</v>
      </c>
      <c r="E1570" s="0" t="inlineStr">
        <is>
          <t>MTO SLATE M BK:144233B-M</t>
        </is>
      </c>
      <c r="F1570" s="2">
        <v>800144233056</v>
      </c>
      <c r="G1570" s="0" t="inlineStr">
        <is>
          <t>MENS</t>
        </is>
      </c>
      <c r="H1570" s="0" t="inlineStr">
        <is>
          <t>M</t>
        </is>
      </c>
      <c r="I1570" s="0">
        <v>29.99</v>
      </c>
      <c r="J1570" s="0">
        <v>166</v>
      </c>
    </row>
    <row r="1571" spans="1:10" customHeight="0">
      <c r="A1571" s="0">
        <f>HYPERLINK("https://dl.dropboxusercontent.com/scl/fi/erst8o41n33haumdfnjds/screenshot2023-08-30at3.31.16pm23799.png?rlkey=us7lkp6lgjr0lroh4loso0fly&amp;dl=0","Click to download Image")</f>
      </c>
      <c r="B1571" s="0">
        <f>HYPERLINK("https://dl.dropboxusercontent.com/scl/fi/mnteemb25om6eu82p53gh/mens-t-shirt-size-chartsslate-cason.jpg?rlkey=z0ztv3mzbt2w0vo15xbj4e4fx&amp;dl=0","Click to download SizeChart")</f>
      </c>
      <c r="C1571" s="0" t="inlineStr">
        <is>
          <t>Slate Men's Flying Herky T-Shirt</t>
        </is>
      </c>
      <c r="D1571" s="1">
        <v>144233</v>
      </c>
      <c r="E1571" s="0" t="inlineStr">
        <is>
          <t>MTO SLATE M BK:144233C-L</t>
        </is>
      </c>
      <c r="F1571" s="2">
        <v>800144233063</v>
      </c>
      <c r="G1571" s="0" t="inlineStr">
        <is>
          <t>MENS</t>
        </is>
      </c>
      <c r="H1571" s="0" t="inlineStr">
        <is>
          <t>L</t>
        </is>
      </c>
      <c r="I1571" s="0">
        <v>29.99</v>
      </c>
      <c r="J1571" s="0">
        <v>166</v>
      </c>
    </row>
    <row r="1572" spans="1:10" customHeight="0">
      <c r="A1572" s="0">
        <f>HYPERLINK("https://dl.dropboxusercontent.com/scl/fi/erst8o41n33haumdfnjds/screenshot2023-08-30at3.31.16pm23799.png?rlkey=us7lkp6lgjr0lroh4loso0fly&amp;dl=0","Click to download Image")</f>
      </c>
      <c r="B1572" s="0">
        <f>HYPERLINK("https://dl.dropboxusercontent.com/scl/fi/mnteemb25om6eu82p53gh/mens-t-shirt-size-chartsslate-cason.jpg?rlkey=z0ztv3mzbt2w0vo15xbj4e4fx&amp;dl=0","Click to download SizeChart")</f>
      </c>
      <c r="C1572" s="0" t="inlineStr">
        <is>
          <t>Slate Men's Flying Herky T-Shirt</t>
        </is>
      </c>
      <c r="D1572" s="1">
        <v>144233</v>
      </c>
      <c r="E1572" s="0" t="inlineStr">
        <is>
          <t>MTO SLATE M BK:144233D-XL</t>
        </is>
      </c>
      <c r="F1572" s="2">
        <v>800144233070</v>
      </c>
      <c r="G1572" s="0" t="inlineStr">
        <is>
          <t>MENS</t>
        </is>
      </c>
      <c r="H1572" s="0" t="inlineStr">
        <is>
          <t>XL</t>
        </is>
      </c>
      <c r="I1572" s="0">
        <v>29.99</v>
      </c>
      <c r="J1572" s="0">
        <v>166</v>
      </c>
    </row>
    <row r="1573" spans="1:10" customHeight="0">
      <c r="A1573" s="0">
        <f>HYPERLINK("https://dl.dropboxusercontent.com/scl/fi/erst8o41n33haumdfnjds/screenshot2023-08-30at3.31.16pm23799.png?rlkey=us7lkp6lgjr0lroh4loso0fly&amp;dl=0","Click to download Image")</f>
      </c>
      <c r="B1573" s="0">
        <f>HYPERLINK("https://dl.dropboxusercontent.com/scl/fi/mnteemb25om6eu82p53gh/mens-t-shirt-size-chartsslate-cason.jpg?rlkey=z0ztv3mzbt2w0vo15xbj4e4fx&amp;dl=0","Click to download SizeChart")</f>
      </c>
      <c r="C1573" s="0" t="inlineStr">
        <is>
          <t>Slate Men's Flying Herky T-Shirt</t>
        </is>
      </c>
      <c r="D1573" s="1">
        <v>144233</v>
      </c>
      <c r="E1573" s="0" t="inlineStr">
        <is>
          <t>MTO SLATE M BK:144233E-2XL</t>
        </is>
      </c>
      <c r="F1573" s="2">
        <v>800144233087</v>
      </c>
      <c r="G1573" s="0" t="inlineStr">
        <is>
          <t>MENS</t>
        </is>
      </c>
      <c r="H1573" s="0" t="inlineStr">
        <is>
          <t>2XL</t>
        </is>
      </c>
      <c r="I1573" s="0">
        <v>35.99</v>
      </c>
      <c r="J1573" s="0">
        <v>166</v>
      </c>
    </row>
    <row r="1574" spans="1:10" customHeight="0">
      <c r="A1574" s="0">
        <f>HYPERLINK("https://dl.dropboxusercontent.com/scl/fi/erst8o41n33haumdfnjds/screenshot2023-08-30at3.31.16pm23799.png?rlkey=us7lkp6lgjr0lroh4loso0fly&amp;dl=0","Click to download Image")</f>
      </c>
      <c r="B1574" s="0">
        <f>HYPERLINK("https://dl.dropboxusercontent.com/scl/fi/mnteemb25om6eu82p53gh/mens-t-shirt-size-chartsslate-cason.jpg?rlkey=z0ztv3mzbt2w0vo15xbj4e4fx&amp;dl=0","Click to download SizeChart")</f>
      </c>
      <c r="C1574" s="0" t="inlineStr">
        <is>
          <t>Slate Men's Flying Herky T-Shirt</t>
        </is>
      </c>
      <c r="D1574" s="1">
        <v>144233</v>
      </c>
      <c r="E1574" s="0" t="inlineStr">
        <is>
          <t>MTO SLATE M BK:144233F-3XL</t>
        </is>
      </c>
      <c r="F1574" s="2">
        <v>800144233094</v>
      </c>
      <c r="G1574" s="0" t="inlineStr">
        <is>
          <t>MENS</t>
        </is>
      </c>
      <c r="H1574" s="0" t="inlineStr">
        <is>
          <t>3XL</t>
        </is>
      </c>
      <c r="I1574" s="0">
        <v>35.99</v>
      </c>
      <c r="J1574" s="0">
        <v>29</v>
      </c>
    </row>
    <row r="1575" spans="1:10" customHeight="0">
      <c r="A1575" s="0">
        <f>HYPERLINK("https://dl.dropboxusercontent.com/scl/fi/d0ottd2ud5ysxp3um7apg/zane-137469f.jpg?rlkey=zznl1mjy9hcasp5v7ie7d9a6j&amp;dl=0","Click to download Image")</f>
      </c>
      <c r="B1575" s="0">
        <f>HYPERLINK("https://dl.dropboxusercontent.com/scl/fi/q3yk9yhnjni5sntlmwd6u/graphic-update2022-mens.jpg?rlkey=9h8pizw4zah7yvdckpv6z6bju&amp;dl=0","Click to download SizeChart")</f>
      </c>
      <c r="C1575" s="0" t="inlineStr">
        <is>
          <t>Zane Men's Long Sleeve Shirt</t>
        </is>
      </c>
      <c r="D1575" s="1">
        <v>137469</v>
      </c>
      <c r="E1575" s="0" t="inlineStr">
        <is>
          <t>IOWA ZANE M DG:137469A-S</t>
        </is>
      </c>
      <c r="F1575" s="2">
        <v>800137469042</v>
      </c>
      <c r="G1575" s="0" t="inlineStr">
        <is>
          <t>MENS</t>
        </is>
      </c>
      <c r="H1575" s="0" t="inlineStr">
        <is>
          <t>S</t>
        </is>
      </c>
      <c r="I1575" s="0">
        <v>19.99</v>
      </c>
      <c r="J1575" s="0">
        <v>2</v>
      </c>
    </row>
    <row r="1576" spans="1:10" customHeight="0">
      <c r="A1576" s="0">
        <f>HYPERLINK("https://dl.dropboxusercontent.com/scl/fi/d0ottd2ud5ysxp3um7apg/zane-137469f.jpg?rlkey=zznl1mjy9hcasp5v7ie7d9a6j&amp;dl=0","Click to download Image")</f>
      </c>
      <c r="B1576" s="0">
        <f>HYPERLINK("https://dl.dropboxusercontent.com/scl/fi/q3yk9yhnjni5sntlmwd6u/graphic-update2022-mens.jpg?rlkey=9h8pizw4zah7yvdckpv6z6bju&amp;dl=0","Click to download SizeChart")</f>
      </c>
      <c r="C1576" s="0" t="inlineStr">
        <is>
          <t>Zane Men's Long Sleeve Shirt</t>
        </is>
      </c>
      <c r="D1576" s="1">
        <v>137469</v>
      </c>
      <c r="E1576" s="0" t="inlineStr">
        <is>
          <t>IOWA ZANE M DG:137469B-M</t>
        </is>
      </c>
      <c r="F1576" s="2">
        <v>800137469059</v>
      </c>
      <c r="G1576" s="0" t="inlineStr">
        <is>
          <t>MENS</t>
        </is>
      </c>
      <c r="H1576" s="0" t="inlineStr">
        <is>
          <t>M</t>
        </is>
      </c>
      <c r="I1576" s="0">
        <v>19.99</v>
      </c>
      <c r="J1576" s="0">
        <v>0</v>
      </c>
    </row>
    <row r="1577" spans="1:10" customHeight="0">
      <c r="A1577" s="0">
        <f>HYPERLINK("https://dl.dropboxusercontent.com/scl/fi/d0ottd2ud5ysxp3um7apg/zane-137469f.jpg?rlkey=zznl1mjy9hcasp5v7ie7d9a6j&amp;dl=0","Click to download Image")</f>
      </c>
      <c r="B1577" s="0">
        <f>HYPERLINK("https://dl.dropboxusercontent.com/scl/fi/q3yk9yhnjni5sntlmwd6u/graphic-update2022-mens.jpg?rlkey=9h8pizw4zah7yvdckpv6z6bju&amp;dl=0","Click to download SizeChart")</f>
      </c>
      <c r="C1577" s="0" t="inlineStr">
        <is>
          <t>Zane Men's Long Sleeve Shirt</t>
        </is>
      </c>
      <c r="D1577" s="1">
        <v>137469</v>
      </c>
      <c r="E1577" s="0" t="inlineStr">
        <is>
          <t>IOWA ZANE M DG:137469C-L</t>
        </is>
      </c>
      <c r="F1577" s="2">
        <v>800137469066</v>
      </c>
      <c r="G1577" s="0" t="inlineStr">
        <is>
          <t>MENS</t>
        </is>
      </c>
      <c r="H1577" s="0" t="inlineStr">
        <is>
          <t>L</t>
        </is>
      </c>
      <c r="I1577" s="0">
        <v>19.99</v>
      </c>
      <c r="J1577" s="0">
        <v>0</v>
      </c>
    </row>
    <row r="1578" spans="1:10" customHeight="0">
      <c r="A1578" s="0">
        <f>HYPERLINK("https://dl.dropboxusercontent.com/scl/fi/d0ottd2ud5ysxp3um7apg/zane-137469f.jpg?rlkey=zznl1mjy9hcasp5v7ie7d9a6j&amp;dl=0","Click to download Image")</f>
      </c>
      <c r="B1578" s="0">
        <f>HYPERLINK("https://dl.dropboxusercontent.com/scl/fi/q3yk9yhnjni5sntlmwd6u/graphic-update2022-mens.jpg?rlkey=9h8pizw4zah7yvdckpv6z6bju&amp;dl=0","Click to download SizeChart")</f>
      </c>
      <c r="C1578" s="0" t="inlineStr">
        <is>
          <t>Zane Men's Long Sleeve Shirt</t>
        </is>
      </c>
      <c r="D1578" s="1">
        <v>137469</v>
      </c>
      <c r="E1578" s="0" t="inlineStr">
        <is>
          <t>IOWA ZANE M DG:137469D-XL</t>
        </is>
      </c>
      <c r="F1578" s="2">
        <v>800137469073</v>
      </c>
      <c r="G1578" s="0" t="inlineStr">
        <is>
          <t>MENS</t>
        </is>
      </c>
      <c r="H1578" s="0" t="inlineStr">
        <is>
          <t>XL</t>
        </is>
      </c>
      <c r="I1578" s="0">
        <v>19.99</v>
      </c>
      <c r="J1578" s="0">
        <v>0</v>
      </c>
    </row>
    <row r="1579" spans="1:10" customHeight="0">
      <c r="A1579" s="0">
        <f>HYPERLINK("https://dl.dropboxusercontent.com/scl/fi/d0ottd2ud5ysxp3um7apg/zane-137469f.jpg?rlkey=zznl1mjy9hcasp5v7ie7d9a6j&amp;dl=0","Click to download Image")</f>
      </c>
      <c r="B1579" s="0">
        <f>HYPERLINK("https://dl.dropboxusercontent.com/scl/fi/q3yk9yhnjni5sntlmwd6u/graphic-update2022-mens.jpg?rlkey=9h8pizw4zah7yvdckpv6z6bju&amp;dl=0","Click to download SizeChart")</f>
      </c>
      <c r="C1579" s="0" t="inlineStr">
        <is>
          <t>Zane Men's Long Sleeve Shirt</t>
        </is>
      </c>
      <c r="D1579" s="1">
        <v>137469</v>
      </c>
      <c r="E1579" s="0" t="inlineStr">
        <is>
          <t>IOWA ZANE M DG:137469E-2XL</t>
        </is>
      </c>
      <c r="F1579" s="2">
        <v>800137469080</v>
      </c>
      <c r="G1579" s="0" t="inlineStr">
        <is>
          <t>MENS</t>
        </is>
      </c>
      <c r="H1579" s="0" t="inlineStr">
        <is>
          <t>2XL</t>
        </is>
      </c>
      <c r="I1579" s="0">
        <v>21.99</v>
      </c>
      <c r="J1579" s="0">
        <v>0</v>
      </c>
    </row>
    <row r="1580" spans="1:10" customHeight="0">
      <c r="A1580" s="0">
        <f>HYPERLINK("https://dl.dropboxusercontent.com/scl/fi/d0ottd2ud5ysxp3um7apg/zane-137469f.jpg?rlkey=zznl1mjy9hcasp5v7ie7d9a6j&amp;dl=0","Click to download Image")</f>
      </c>
      <c r="B1580" s="0">
        <f>HYPERLINK("https://dl.dropboxusercontent.com/scl/fi/q3yk9yhnjni5sntlmwd6u/graphic-update2022-mens.jpg?rlkey=9h8pizw4zah7yvdckpv6z6bju&amp;dl=0","Click to download SizeChart")</f>
      </c>
      <c r="C1580" s="0" t="inlineStr">
        <is>
          <t>Zane Men's Long Sleeve Shirt</t>
        </is>
      </c>
      <c r="D1580" s="1">
        <v>137469</v>
      </c>
      <c r="E1580" s="0" t="inlineStr">
        <is>
          <t>IOWA ZANE M DG:137469F-3XL</t>
        </is>
      </c>
      <c r="F1580" s="2">
        <v>800137469097</v>
      </c>
      <c r="G1580" s="0" t="inlineStr">
        <is>
          <t>MENS</t>
        </is>
      </c>
      <c r="H1580" s="0" t="inlineStr">
        <is>
          <t>3XL</t>
        </is>
      </c>
      <c r="I1580" s="0">
        <v>21.99</v>
      </c>
      <c r="J1580" s="0">
        <v>0</v>
      </c>
    </row>
    <row r="1581" spans="1:10" customHeight="0">
      <c r="A1581" s="0">
        <f>HYPERLINK("https://dl.dropboxusercontent.com/scl/fi/3wh7rtflwkx7s09b5o5o3/alpine-152647-on-slatepic.jpg?rlkey=fsv0f12vuqytwkp0ggzf2m168&amp;dl=0","Click to download Image")</f>
      </c>
      <c r="B1581" s="0">
        <f>HYPERLINK("https://dl.dropboxusercontent.com/scl/fi/mi2hvdzm8hyszh985jqg5/mens-t-shirt-size-chartsslate-cason.jpg?rlkey=6jci9xn1ijs7ylbufu2k57hky&amp;dl=0","Click to download SizeChart")</f>
      </c>
      <c r="C1581" s="0" t="inlineStr">
        <is>
          <t>Alpine Men's Short Sleeve Shirt</t>
        </is>
      </c>
      <c r="D1581" s="1">
        <v>152647</v>
      </c>
      <c r="E1581" s="0" t="inlineStr">
        <is>
          <t>IOWA ALPINE M WE:152647A-S</t>
        </is>
      </c>
      <c r="F1581" s="2">
        <v>800152647043</v>
      </c>
      <c r="G1581" s="0" t="inlineStr">
        <is>
          <t>MENS</t>
        </is>
      </c>
      <c r="H1581" s="0" t="inlineStr">
        <is>
          <t>S</t>
        </is>
      </c>
      <c r="I1581" s="0">
        <v>29.99</v>
      </c>
      <c r="J1581" s="0">
        <v>110</v>
      </c>
    </row>
    <row r="1582" spans="1:10" customHeight="0">
      <c r="A1582" s="0">
        <f>HYPERLINK("https://dl.dropboxusercontent.com/scl/fi/3wh7rtflwkx7s09b5o5o3/alpine-152647-on-slatepic.jpg?rlkey=fsv0f12vuqytwkp0ggzf2m168&amp;dl=0","Click to download Image")</f>
      </c>
      <c r="B1582" s="0">
        <f>HYPERLINK("https://dl.dropboxusercontent.com/scl/fi/mi2hvdzm8hyszh985jqg5/mens-t-shirt-size-chartsslate-cason.jpg?rlkey=6jci9xn1ijs7ylbufu2k57hky&amp;dl=0","Click to download SizeChart")</f>
      </c>
      <c r="C1582" s="0" t="inlineStr">
        <is>
          <t>Alpine Men's Short Sleeve Shirt</t>
        </is>
      </c>
      <c r="D1582" s="1">
        <v>152647</v>
      </c>
      <c r="E1582" s="0" t="inlineStr">
        <is>
          <t>IOWA ALPINE M WE:152647B-M</t>
        </is>
      </c>
      <c r="F1582" s="2">
        <v>800152647050</v>
      </c>
      <c r="G1582" s="0" t="inlineStr">
        <is>
          <t>MENS</t>
        </is>
      </c>
      <c r="H1582" s="0" t="inlineStr">
        <is>
          <t>M</t>
        </is>
      </c>
      <c r="I1582" s="0">
        <v>29.99</v>
      </c>
      <c r="J1582" s="0">
        <v>290</v>
      </c>
    </row>
    <row r="1583" spans="1:10" customHeight="0">
      <c r="A1583" s="0">
        <f>HYPERLINK("https://dl.dropboxusercontent.com/scl/fi/3wh7rtflwkx7s09b5o5o3/alpine-152647-on-slatepic.jpg?rlkey=fsv0f12vuqytwkp0ggzf2m168&amp;dl=0","Click to download Image")</f>
      </c>
      <c r="B1583" s="0">
        <f>HYPERLINK("https://dl.dropboxusercontent.com/scl/fi/mi2hvdzm8hyszh985jqg5/mens-t-shirt-size-chartsslate-cason.jpg?rlkey=6jci9xn1ijs7ylbufu2k57hky&amp;dl=0","Click to download SizeChart")</f>
      </c>
      <c r="C1583" s="0" t="inlineStr">
        <is>
          <t>Alpine Men's Short Sleeve Shirt</t>
        </is>
      </c>
      <c r="D1583" s="1">
        <v>152647</v>
      </c>
      <c r="E1583" s="0" t="inlineStr">
        <is>
          <t>IOWA ALPINE M WE:152647C-L</t>
        </is>
      </c>
      <c r="F1583" s="2">
        <v>800152647067</v>
      </c>
      <c r="G1583" s="0" t="inlineStr">
        <is>
          <t>MENS</t>
        </is>
      </c>
      <c r="H1583" s="0" t="inlineStr">
        <is>
          <t>L</t>
        </is>
      </c>
      <c r="I1583" s="0">
        <v>29.99</v>
      </c>
      <c r="J1583" s="0">
        <v>315</v>
      </c>
    </row>
    <row r="1584" spans="1:10" customHeight="0">
      <c r="A1584" s="0">
        <f>HYPERLINK("https://dl.dropboxusercontent.com/scl/fi/3wh7rtflwkx7s09b5o5o3/alpine-152647-on-slatepic.jpg?rlkey=fsv0f12vuqytwkp0ggzf2m168&amp;dl=0","Click to download Image")</f>
      </c>
      <c r="B1584" s="0">
        <f>HYPERLINK("https://dl.dropboxusercontent.com/scl/fi/mi2hvdzm8hyszh985jqg5/mens-t-shirt-size-chartsslate-cason.jpg?rlkey=6jci9xn1ijs7ylbufu2k57hky&amp;dl=0","Click to download SizeChart")</f>
      </c>
      <c r="C1584" s="0" t="inlineStr">
        <is>
          <t>Alpine Men's Short Sleeve Shirt</t>
        </is>
      </c>
      <c r="D1584" s="1">
        <v>152647</v>
      </c>
      <c r="E1584" s="0" t="inlineStr">
        <is>
          <t>IOWA ALPINE M WE:152647D-XL</t>
        </is>
      </c>
      <c r="F1584" s="2">
        <v>800152647074</v>
      </c>
      <c r="G1584" s="0" t="inlineStr">
        <is>
          <t>MENS</t>
        </is>
      </c>
      <c r="H1584" s="0" t="inlineStr">
        <is>
          <t>XL</t>
        </is>
      </c>
      <c r="I1584" s="0">
        <v>29.99</v>
      </c>
      <c r="J1584" s="0">
        <v>141</v>
      </c>
    </row>
    <row r="1585" spans="1:10" customHeight="0">
      <c r="A1585" s="0">
        <f>HYPERLINK("https://dl.dropboxusercontent.com/scl/fi/3wh7rtflwkx7s09b5o5o3/alpine-152647-on-slatepic.jpg?rlkey=fsv0f12vuqytwkp0ggzf2m168&amp;dl=0","Click to download Image")</f>
      </c>
      <c r="B1585" s="0">
        <f>HYPERLINK("https://dl.dropboxusercontent.com/scl/fi/mi2hvdzm8hyszh985jqg5/mens-t-shirt-size-chartsslate-cason.jpg?rlkey=6jci9xn1ijs7ylbufu2k57hky&amp;dl=0","Click to download SizeChart")</f>
      </c>
      <c r="C1585" s="0" t="inlineStr">
        <is>
          <t>Alpine Men's Short Sleeve Shirt</t>
        </is>
      </c>
      <c r="D1585" s="1">
        <v>152647</v>
      </c>
      <c r="E1585" s="0" t="inlineStr">
        <is>
          <t>IOWA ALPINE M WE:152647E-2XL</t>
        </is>
      </c>
      <c r="F1585" s="2">
        <v>800152647081</v>
      </c>
      <c r="G1585" s="0" t="inlineStr">
        <is>
          <t>MENS</t>
        </is>
      </c>
      <c r="H1585" s="0" t="inlineStr">
        <is>
          <t>2XL</t>
        </is>
      </c>
      <c r="I1585" s="0">
        <v>31.99</v>
      </c>
      <c r="J1585" s="0">
        <v>205</v>
      </c>
    </row>
    <row r="1586" spans="1:10" customHeight="0">
      <c r="A1586" s="0">
        <f>HYPERLINK("https://dl.dropboxusercontent.com/scl/fi/3wh7rtflwkx7s09b5o5o3/alpine-152647-on-slatepic.jpg?rlkey=fsv0f12vuqytwkp0ggzf2m168&amp;dl=0","Click to download Image")</f>
      </c>
      <c r="B1586" s="0">
        <f>HYPERLINK("https://dl.dropboxusercontent.com/scl/fi/mi2hvdzm8hyszh985jqg5/mens-t-shirt-size-chartsslate-cason.jpg?rlkey=6jci9xn1ijs7ylbufu2k57hky&amp;dl=0","Click to download SizeChart")</f>
      </c>
      <c r="C1586" s="0" t="inlineStr">
        <is>
          <t>Alpine Men's Short Sleeve Shirt</t>
        </is>
      </c>
      <c r="D1586" s="1">
        <v>152647</v>
      </c>
      <c r="E1586" s="0" t="inlineStr">
        <is>
          <t>IOWA ALPINE M WE:152647F-3XL</t>
        </is>
      </c>
      <c r="F1586" s="2">
        <v>800152647098</v>
      </c>
      <c r="G1586" s="0" t="inlineStr">
        <is>
          <t>MENS</t>
        </is>
      </c>
      <c r="H1586" s="0" t="inlineStr">
        <is>
          <t>3XL</t>
        </is>
      </c>
      <c r="I1586" s="0">
        <v>31.99</v>
      </c>
      <c r="J1586" s="0">
        <v>110</v>
      </c>
    </row>
    <row r="1587" spans="1:10" customHeight="0">
      <c r="A1587" s="0">
        <f>HYPERLINK("https://dl.dropboxusercontent.com/scl/fi/vmj3z0q90bbahl5hshuhw/103187-03af12546.jpg?rlkey=zjn5ccp4egit67z43zdovvgaq&amp;dl=0","Click to download Image")</f>
      </c>
      <c r="C1587" s="0" t="inlineStr">
        <is>
          <t>Parr Men's Cap</t>
        </is>
      </c>
      <c r="D1587" s="0" t="inlineStr">
        <is>
          <t>103187-03</t>
        </is>
      </c>
      <c r="E1587" s="0" t="inlineStr">
        <is>
          <t>DK GOLD WASHED:103187-03</t>
        </is>
      </c>
      <c r="F1587" s="2">
        <v>700103187034</v>
      </c>
      <c r="G1587" s="0" t="inlineStr">
        <is>
          <t>MENS</t>
        </is>
      </c>
      <c r="H1587" s="0" t="inlineStr">
        <is>
          <t>STANDARD MENS</t>
        </is>
      </c>
      <c r="I1587" s="0">
        <v>19.99</v>
      </c>
      <c r="J1587" s="0">
        <v>650</v>
      </c>
    </row>
    <row r="1588" spans="1:10" customHeight="0">
      <c r="A1588" s="0">
        <f>HYPERLINK("https://dl.dropboxusercontent.com/scl/fi/ne7pp3g54mxzr8bimvuoq/poncho.jpg?rlkey=ha956etecn9kv549cc084iw8w&amp;dl=0","Click to download Image")</f>
      </c>
      <c r="C1588" s="0" t="inlineStr">
        <is>
          <t>Disposable Poncho - Adult</t>
        </is>
      </c>
      <c r="D1588" s="1">
        <v>104631</v>
      </c>
      <c r="E1588" s="0" t="inlineStr">
        <is>
          <t>PONCHO:104631</t>
        </is>
      </c>
      <c r="F1588" s="2">
        <v>800104631014</v>
      </c>
      <c r="G1588" s="0" t="inlineStr">
        <is>
          <t>MENS</t>
        </is>
      </c>
      <c r="H1588" s="0" t="inlineStr">
        <is>
          <t>ADULT - OS</t>
        </is>
      </c>
      <c r="I1588" s="0">
        <v>7.99</v>
      </c>
      <c r="J1588" s="0">
        <v>483</v>
      </c>
    </row>
    <row r="1589" spans="1:10" customHeight="0">
      <c r="A1589" s="0">
        <f>HYPERLINK("https://dl.dropboxusercontent.com/scl/fi/g5w9gozj06o0ah3xkouud/lola-black-1.jpg?rlkey=90nxpn1xjr30c9bw0lcodi6yu&amp;dl=0","Click to download Image")</f>
      </c>
      <c r="B1589" s="0">
        <f>HYPERLINK("https://dl.dropboxusercontent.com/scl/fi/ruhnss6vow71j11rwr6l1/womens-t-shirt-size-chartslola.jpg?rlkey=8o1modoc6i2edpr1k0c7q2br0&amp;dl=0","Click to download SizeChart")</f>
      </c>
      <c r="C1589" s="0" t="inlineStr">
        <is>
          <t>Lola Women's Long Sleeve Shirt</t>
        </is>
      </c>
      <c r="D1589" s="1">
        <v>113603</v>
      </c>
      <c r="E1589" s="0" t="inlineStr">
        <is>
          <t>IOWA LOLA WOMENS BLACK:113603A-S</t>
        </is>
      </c>
      <c r="F1589" s="2">
        <v>800113603040</v>
      </c>
      <c r="G1589" s="0" t="inlineStr">
        <is>
          <t>WOMENS</t>
        </is>
      </c>
      <c r="H1589" s="0" t="inlineStr">
        <is>
          <t>S</t>
        </is>
      </c>
      <c r="I1589" s="0">
        <v>39.99</v>
      </c>
      <c r="J1589" s="0">
        <v>1</v>
      </c>
    </row>
    <row r="1590" spans="1:10" customHeight="0">
      <c r="A1590" s="0">
        <f>HYPERLINK("https://dl.dropboxusercontent.com/scl/fi/g5w9gozj06o0ah3xkouud/lola-black-1.jpg?rlkey=90nxpn1xjr30c9bw0lcodi6yu&amp;dl=0","Click to download Image")</f>
      </c>
      <c r="B1590" s="0">
        <f>HYPERLINK("https://dl.dropboxusercontent.com/scl/fi/ruhnss6vow71j11rwr6l1/womens-t-shirt-size-chartslola.jpg?rlkey=8o1modoc6i2edpr1k0c7q2br0&amp;dl=0","Click to download SizeChart")</f>
      </c>
      <c r="C1590" s="0" t="inlineStr">
        <is>
          <t>Lola Women's Long Sleeve Shirt</t>
        </is>
      </c>
      <c r="D1590" s="1">
        <v>113603</v>
      </c>
      <c r="E1590" s="0" t="inlineStr">
        <is>
          <t>IOWA LOLA WOMENS BLACK:113603B-M</t>
        </is>
      </c>
      <c r="F1590" s="2">
        <v>800113603057</v>
      </c>
      <c r="G1590" s="0" t="inlineStr">
        <is>
          <t>WOMENS</t>
        </is>
      </c>
      <c r="H1590" s="0" t="inlineStr">
        <is>
          <t>M</t>
        </is>
      </c>
      <c r="I1590" s="0">
        <v>39.99</v>
      </c>
      <c r="J1590" s="0">
        <v>4</v>
      </c>
    </row>
    <row r="1591" spans="1:10" customHeight="0">
      <c r="A1591" s="0">
        <f>HYPERLINK("https://dl.dropboxusercontent.com/scl/fi/g5w9gozj06o0ah3xkouud/lola-black-1.jpg?rlkey=90nxpn1xjr30c9bw0lcodi6yu&amp;dl=0","Click to download Image")</f>
      </c>
      <c r="B1591" s="0">
        <f>HYPERLINK("https://dl.dropboxusercontent.com/scl/fi/ruhnss6vow71j11rwr6l1/womens-t-shirt-size-chartslola.jpg?rlkey=8o1modoc6i2edpr1k0c7q2br0&amp;dl=0","Click to download SizeChart")</f>
      </c>
      <c r="C1591" s="0" t="inlineStr">
        <is>
          <t>Lola Women's Long Sleeve Shirt</t>
        </is>
      </c>
      <c r="D1591" s="1">
        <v>113603</v>
      </c>
      <c r="E1591" s="0" t="inlineStr">
        <is>
          <t>IOWA LOLA WOMENS BLACK:113603C-L</t>
        </is>
      </c>
      <c r="F1591" s="2">
        <v>800113603064</v>
      </c>
      <c r="G1591" s="0" t="inlineStr">
        <is>
          <t>WOMENS</t>
        </is>
      </c>
      <c r="H1591" s="0" t="inlineStr">
        <is>
          <t>L</t>
        </is>
      </c>
      <c r="I1591" s="0">
        <v>39.99</v>
      </c>
      <c r="J1591" s="0">
        <v>3</v>
      </c>
    </row>
    <row r="1592" spans="1:10" customHeight="0">
      <c r="A1592" s="0">
        <f>HYPERLINK("https://dl.dropboxusercontent.com/scl/fi/g5w9gozj06o0ah3xkouud/lola-black-1.jpg?rlkey=90nxpn1xjr30c9bw0lcodi6yu&amp;dl=0","Click to download Image")</f>
      </c>
      <c r="B1592" s="0">
        <f>HYPERLINK("https://dl.dropboxusercontent.com/scl/fi/ruhnss6vow71j11rwr6l1/womens-t-shirt-size-chartslola.jpg?rlkey=8o1modoc6i2edpr1k0c7q2br0&amp;dl=0","Click to download SizeChart")</f>
      </c>
      <c r="C1592" s="0" t="inlineStr">
        <is>
          <t>Lola Women's Long Sleeve Shirt</t>
        </is>
      </c>
      <c r="D1592" s="1">
        <v>113603</v>
      </c>
      <c r="E1592" s="0" t="inlineStr">
        <is>
          <t>IOWA LOLA WOMENS BLACK:113603D-XL</t>
        </is>
      </c>
      <c r="F1592" s="2">
        <v>800113603071</v>
      </c>
      <c r="G1592" s="0" t="inlineStr">
        <is>
          <t>WOMENS</t>
        </is>
      </c>
      <c r="H1592" s="0" t="inlineStr">
        <is>
          <t>XL</t>
        </is>
      </c>
      <c r="I1592" s="0">
        <v>39.99</v>
      </c>
      <c r="J1592" s="0">
        <v>0</v>
      </c>
    </row>
    <row r="1593" spans="1:10" customHeight="0">
      <c r="A1593" s="0">
        <f>HYPERLINK("https://dl.dropboxusercontent.com/scl/fi/g5w9gozj06o0ah3xkouud/lola-black-1.jpg?rlkey=90nxpn1xjr30c9bw0lcodi6yu&amp;dl=0","Click to download Image")</f>
      </c>
      <c r="B1593" s="0">
        <f>HYPERLINK("https://dl.dropboxusercontent.com/scl/fi/ruhnss6vow71j11rwr6l1/womens-t-shirt-size-chartslola.jpg?rlkey=8o1modoc6i2edpr1k0c7q2br0&amp;dl=0","Click to download SizeChart")</f>
      </c>
      <c r="C1593" s="0" t="inlineStr">
        <is>
          <t>Lola Women's Long Sleeve Shirt</t>
        </is>
      </c>
      <c r="D1593" s="1">
        <v>113603</v>
      </c>
      <c r="E1593" s="0" t="inlineStr">
        <is>
          <t>IOWA LOLA WOMENS BLACK:113603E-2XL</t>
        </is>
      </c>
      <c r="F1593" s="2">
        <v>800113603088</v>
      </c>
      <c r="G1593" s="0" t="inlineStr">
        <is>
          <t>WOMENS</t>
        </is>
      </c>
      <c r="H1593" s="0" t="inlineStr">
        <is>
          <t>2XL</t>
        </is>
      </c>
      <c r="I1593" s="0">
        <v>41.99</v>
      </c>
      <c r="J1593" s="0">
        <v>8</v>
      </c>
    </row>
    <row r="1594" spans="1:10" customHeight="0">
      <c r="A1594" s="0">
        <f>HYPERLINK("https://dl.dropboxusercontent.com/scl/fi/g5w9gozj06o0ah3xkouud/lola-black-1.jpg?rlkey=90nxpn1xjr30c9bw0lcodi6yu&amp;dl=0","Click to download Image")</f>
      </c>
      <c r="B1594" s="0">
        <f>HYPERLINK("https://dl.dropboxusercontent.com/scl/fi/ruhnss6vow71j11rwr6l1/womens-t-shirt-size-chartslola.jpg?rlkey=8o1modoc6i2edpr1k0c7q2br0&amp;dl=0","Click to download SizeChart")</f>
      </c>
      <c r="C1594" s="0" t="inlineStr">
        <is>
          <t>Lola Women's Long Sleeve Shirt</t>
        </is>
      </c>
      <c r="D1594" s="1">
        <v>113603</v>
      </c>
      <c r="E1594" s="0" t="inlineStr">
        <is>
          <t>IOWA LOLA WOMENS BLACK:113603F-3XL</t>
        </is>
      </c>
      <c r="F1594" s="2">
        <v>800113603095</v>
      </c>
      <c r="G1594" s="0" t="inlineStr">
        <is>
          <t>WOMENS</t>
        </is>
      </c>
      <c r="H1594" s="0" t="inlineStr">
        <is>
          <t>3XL</t>
        </is>
      </c>
      <c r="I1594" s="0">
        <v>41.99</v>
      </c>
      <c r="J1594" s="0">
        <v>9</v>
      </c>
    </row>
    <row r="1595" spans="1:10" customHeight="0">
      <c r="A1595" s="0">
        <f>HYPERLINK("https://dl.dropboxusercontent.com/scl/fi/g5w9gozj06o0ah3xkouud/lola-black-1.jpg?rlkey=90nxpn1xjr30c9bw0lcodi6yu&amp;dl=0","Click to download Image")</f>
      </c>
      <c r="B1595" s="0">
        <f>HYPERLINK("https://dl.dropboxusercontent.com/scl/fi/ruhnss6vow71j11rwr6l1/womens-t-shirt-size-chartslola.jpg?rlkey=8o1modoc6i2edpr1k0c7q2br0&amp;dl=0","Click to download SizeChart")</f>
      </c>
      <c r="C1595" s="0" t="inlineStr">
        <is>
          <t>Lola Women's Long Sleeve Shirt</t>
        </is>
      </c>
      <c r="D1595" s="1">
        <v>113603</v>
      </c>
      <c r="E1595" s="0" t="inlineStr">
        <is>
          <t>IOWA LOLA WOMENS BLACK 12 PACK:113603Z-12PK</t>
        </is>
      </c>
      <c r="F1595" s="2">
        <v>800113603996</v>
      </c>
      <c r="G1595" s="0" t="inlineStr">
        <is>
          <t>WOMENS</t>
        </is>
      </c>
      <c r="H1595" s="0" t="inlineStr">
        <is>
          <t>12 PACK</t>
        </is>
      </c>
      <c r="I1595" s="0">
        <v>384</v>
      </c>
      <c r="J1595" s="0">
        <v>0</v>
      </c>
    </row>
    <row r="1596" spans="1:10" customHeight="0">
      <c r="A1596" s="0">
        <f>HYPERLINK("https://dl.dropboxusercontent.com/scl/fi/f7f11gdzk88bqcxzu8aqr/113380-af.jpg?rlkey=wusmd7uixtw3jaaua2jgy1uh5&amp;dl=0","Click to download Image")</f>
      </c>
      <c r="B1596" s="0">
        <f>HYPERLINK("https://dl.dropboxusercontent.com/scl/fi/31ft9od7gaf8gu4h2nfb6/womens-t-shirt-size-chartsmarielle.jpg?rlkey=xuf8egh8yaq5g3zpqg8td14td&amp;dl=0","Click to download SizeChart")</f>
      </c>
      <c r="C1596" s="0" t="inlineStr">
        <is>
          <t>Marielle Women's Relaxed T-shirt</t>
        </is>
      </c>
      <c r="D1596" s="1">
        <v>113380</v>
      </c>
      <c r="E1596" s="0" t="inlineStr">
        <is>
          <t>IOWA MARIELLE W BLACK:113380A-S</t>
        </is>
      </c>
      <c r="F1596" s="2">
        <v>800113380040</v>
      </c>
      <c r="G1596" s="0" t="inlineStr">
        <is>
          <t>WOMENS</t>
        </is>
      </c>
      <c r="H1596" s="0" t="inlineStr">
        <is>
          <t>S</t>
        </is>
      </c>
      <c r="I1596" s="0">
        <v>24.99</v>
      </c>
      <c r="J1596" s="0">
        <v>0</v>
      </c>
    </row>
    <row r="1597" spans="1:10" customHeight="0">
      <c r="A1597" s="0">
        <f>HYPERLINK("https://dl.dropboxusercontent.com/scl/fi/f7f11gdzk88bqcxzu8aqr/113380-af.jpg?rlkey=wusmd7uixtw3jaaua2jgy1uh5&amp;dl=0","Click to download Image")</f>
      </c>
      <c r="B1597" s="0">
        <f>HYPERLINK("https://dl.dropboxusercontent.com/scl/fi/31ft9od7gaf8gu4h2nfb6/womens-t-shirt-size-chartsmarielle.jpg?rlkey=xuf8egh8yaq5g3zpqg8td14td&amp;dl=0","Click to download SizeChart")</f>
      </c>
      <c r="C1597" s="0" t="inlineStr">
        <is>
          <t>Marielle Women's Relaxed T-shirt</t>
        </is>
      </c>
      <c r="D1597" s="1">
        <v>113380</v>
      </c>
      <c r="E1597" s="0" t="inlineStr">
        <is>
          <t>IOWA MARIELLE W BLACK:113380B-M</t>
        </is>
      </c>
      <c r="F1597" s="2">
        <v>800113380057</v>
      </c>
      <c r="G1597" s="0" t="inlineStr">
        <is>
          <t>WOMENS</t>
        </is>
      </c>
      <c r="H1597" s="0" t="inlineStr">
        <is>
          <t>M</t>
        </is>
      </c>
      <c r="I1597" s="0">
        <v>24.99</v>
      </c>
      <c r="J1597" s="0">
        <v>0</v>
      </c>
    </row>
    <row r="1598" spans="1:10" customHeight="0">
      <c r="A1598" s="0">
        <f>HYPERLINK("https://dl.dropboxusercontent.com/scl/fi/f7f11gdzk88bqcxzu8aqr/113380-af.jpg?rlkey=wusmd7uixtw3jaaua2jgy1uh5&amp;dl=0","Click to download Image")</f>
      </c>
      <c r="B1598" s="0">
        <f>HYPERLINK("https://dl.dropboxusercontent.com/scl/fi/31ft9od7gaf8gu4h2nfb6/womens-t-shirt-size-chartsmarielle.jpg?rlkey=xuf8egh8yaq5g3zpqg8td14td&amp;dl=0","Click to download SizeChart")</f>
      </c>
      <c r="C1598" s="0" t="inlineStr">
        <is>
          <t>Marielle Women's Relaxed T-shirt</t>
        </is>
      </c>
      <c r="D1598" s="1">
        <v>113380</v>
      </c>
      <c r="E1598" s="0" t="inlineStr">
        <is>
          <t>IOWA MARIELLE W BLACK:113380C-L</t>
        </is>
      </c>
      <c r="F1598" s="2">
        <v>800113380064</v>
      </c>
      <c r="G1598" s="0" t="inlineStr">
        <is>
          <t>WOMENS</t>
        </is>
      </c>
      <c r="H1598" s="0" t="inlineStr">
        <is>
          <t>L</t>
        </is>
      </c>
      <c r="I1598" s="0">
        <v>24.99</v>
      </c>
      <c r="J1598" s="0">
        <v>0</v>
      </c>
    </row>
    <row r="1599" spans="1:10" customHeight="0">
      <c r="A1599" s="0">
        <f>HYPERLINK("https://dl.dropboxusercontent.com/scl/fi/f7f11gdzk88bqcxzu8aqr/113380-af.jpg?rlkey=wusmd7uixtw3jaaua2jgy1uh5&amp;dl=0","Click to download Image")</f>
      </c>
      <c r="B1599" s="0">
        <f>HYPERLINK("https://dl.dropboxusercontent.com/scl/fi/31ft9od7gaf8gu4h2nfb6/womens-t-shirt-size-chartsmarielle.jpg?rlkey=xuf8egh8yaq5g3zpqg8td14td&amp;dl=0","Click to download SizeChart")</f>
      </c>
      <c r="C1599" s="0" t="inlineStr">
        <is>
          <t>Marielle Women's Relaxed T-shirt</t>
        </is>
      </c>
      <c r="D1599" s="1">
        <v>113380</v>
      </c>
      <c r="E1599" s="0" t="inlineStr">
        <is>
          <t>IOWA MARIELLE W BLACK:113380D-XL</t>
        </is>
      </c>
      <c r="F1599" s="2">
        <v>800113380071</v>
      </c>
      <c r="G1599" s="0" t="inlineStr">
        <is>
          <t>WOMENS</t>
        </is>
      </c>
      <c r="H1599" s="0" t="inlineStr">
        <is>
          <t>XL</t>
        </is>
      </c>
      <c r="I1599" s="0">
        <v>24.99</v>
      </c>
      <c r="J1599" s="0">
        <v>0</v>
      </c>
    </row>
    <row r="1600" spans="1:10" customHeight="0">
      <c r="A1600" s="0">
        <f>HYPERLINK("https://dl.dropboxusercontent.com/scl/fi/f7f11gdzk88bqcxzu8aqr/113380-af.jpg?rlkey=wusmd7uixtw3jaaua2jgy1uh5&amp;dl=0","Click to download Image")</f>
      </c>
      <c r="B1600" s="0">
        <f>HYPERLINK("https://dl.dropboxusercontent.com/scl/fi/31ft9od7gaf8gu4h2nfb6/womens-t-shirt-size-chartsmarielle.jpg?rlkey=xuf8egh8yaq5g3zpqg8td14td&amp;dl=0","Click to download SizeChart")</f>
      </c>
      <c r="C1600" s="0" t="inlineStr">
        <is>
          <t>Marielle Women's Relaxed T-shirt</t>
        </is>
      </c>
      <c r="D1600" s="1">
        <v>113380</v>
      </c>
      <c r="E1600" s="0" t="inlineStr">
        <is>
          <t>IOWA MARIELLE W BLACK:113380E-2XL</t>
        </is>
      </c>
      <c r="F1600" s="2">
        <v>800113380088</v>
      </c>
      <c r="G1600" s="0" t="inlineStr">
        <is>
          <t>WOMENS</t>
        </is>
      </c>
      <c r="H1600" s="0" t="inlineStr">
        <is>
          <t>2XL</t>
        </is>
      </c>
      <c r="I1600" s="0">
        <v>30.99</v>
      </c>
      <c r="J1600" s="0">
        <v>13</v>
      </c>
    </row>
    <row r="1601" spans="1:10" customHeight="0">
      <c r="A1601" s="0">
        <f>HYPERLINK("https://dl.dropboxusercontent.com/scl/fi/f7f11gdzk88bqcxzu8aqr/113380-af.jpg?rlkey=wusmd7uixtw3jaaua2jgy1uh5&amp;dl=0","Click to download Image")</f>
      </c>
      <c r="B1601" s="0">
        <f>HYPERLINK("https://dl.dropboxusercontent.com/scl/fi/31ft9od7gaf8gu4h2nfb6/womens-t-shirt-size-chartsmarielle.jpg?rlkey=xuf8egh8yaq5g3zpqg8td14td&amp;dl=0","Click to download SizeChart")</f>
      </c>
      <c r="C1601" s="0" t="inlineStr">
        <is>
          <t>Marielle Women's Relaxed T-shirt</t>
        </is>
      </c>
      <c r="D1601" s="1">
        <v>113380</v>
      </c>
      <c r="E1601" s="0" t="inlineStr">
        <is>
          <t>IOWA MARIELLE W BLACK:113380F-3XL</t>
        </is>
      </c>
      <c r="F1601" s="2">
        <v>800113380095</v>
      </c>
      <c r="G1601" s="0" t="inlineStr">
        <is>
          <t>WOMENS</t>
        </is>
      </c>
      <c r="H1601" s="0" t="inlineStr">
        <is>
          <t>3XL</t>
        </is>
      </c>
      <c r="I1601" s="0">
        <v>30.99</v>
      </c>
      <c r="J1601" s="0">
        <v>15</v>
      </c>
    </row>
    <row r="1602" spans="1:10" customHeight="0">
      <c r="A1602" s="0">
        <f>HYPERLINK("https://dl.dropboxusercontent.com/scl/fi/f7f11gdzk88bqcxzu8aqr/113380-af.jpg?rlkey=wusmd7uixtw3jaaua2jgy1uh5&amp;dl=0","Click to download Image")</f>
      </c>
      <c r="B1602" s="0">
        <f>HYPERLINK("https://dl.dropboxusercontent.com/scl/fi/31ft9od7gaf8gu4h2nfb6/womens-t-shirt-size-chartsmarielle.jpg?rlkey=xuf8egh8yaq5g3zpqg8td14td&amp;dl=0","Click to download SizeChart")</f>
      </c>
      <c r="C1602" s="0" t="inlineStr">
        <is>
          <t>Marielle Women's Relaxed T-shirt</t>
        </is>
      </c>
      <c r="D1602" s="1">
        <v>113380</v>
      </c>
      <c r="E1602" s="0" t="inlineStr">
        <is>
          <t>IOWA MARIELLE W BLACK 12 PACK:113380Z-12PK</t>
        </is>
      </c>
      <c r="F1602" s="2">
        <v>800113380996</v>
      </c>
      <c r="G1602" s="0" t="inlineStr">
        <is>
          <t>WOMENS</t>
        </is>
      </c>
      <c r="H1602" s="0" t="inlineStr">
        <is>
          <t>12 PACK</t>
        </is>
      </c>
      <c r="I1602" s="0">
        <v>240</v>
      </c>
      <c r="J1602" s="0">
        <v>0</v>
      </c>
    </row>
    <row r="1603" spans="1:10" customHeight="0">
      <c r="A1603" s="0">
        <f>HYPERLINK("https://dl.dropboxusercontent.com/scl/fi/ezkmcie5iiqah85g5ksbi/kent-137434f.jpg?rlkey=mcq6h963ouublobcbz3o5bbm8&amp;dl=0","Click to download Image")</f>
      </c>
      <c r="B1603" s="0">
        <f>HYPERLINK("https://dl.dropboxusercontent.com/scl/fi/5y73xy7y35goxkl25ec48/graphic-update2022-mens.jpg?rlkey=7paoo5iejucbso17gylhqdfof&amp;dl=0","Click to download SizeChart")</f>
      </c>
      <c r="C1603" s="0" t="inlineStr">
        <is>
          <t>Kent Men's Midweight Sweatshirt</t>
        </is>
      </c>
      <c r="D1603" s="1">
        <v>137434</v>
      </c>
      <c r="E1603" s="0" t="inlineStr">
        <is>
          <t>IOWA KENT M BK:137434A-S</t>
        </is>
      </c>
      <c r="F1603" s="2">
        <v>800137434040</v>
      </c>
      <c r="G1603" s="0" t="inlineStr">
        <is>
          <t>MENS</t>
        </is>
      </c>
      <c r="H1603" s="0" t="inlineStr">
        <is>
          <t>S</t>
        </is>
      </c>
      <c r="I1603" s="0">
        <v>34.99</v>
      </c>
      <c r="J1603" s="0">
        <v>1</v>
      </c>
    </row>
    <row r="1604" spans="1:10" customHeight="0">
      <c r="A1604" s="0">
        <f>HYPERLINK("https://dl.dropboxusercontent.com/scl/fi/ezkmcie5iiqah85g5ksbi/kent-137434f.jpg?rlkey=mcq6h963ouublobcbz3o5bbm8&amp;dl=0","Click to download Image")</f>
      </c>
      <c r="B1604" s="0">
        <f>HYPERLINK("https://dl.dropboxusercontent.com/scl/fi/5y73xy7y35goxkl25ec48/graphic-update2022-mens.jpg?rlkey=7paoo5iejucbso17gylhqdfof&amp;dl=0","Click to download SizeChart")</f>
      </c>
      <c r="C1604" s="0" t="inlineStr">
        <is>
          <t>Kent Men's Midweight Sweatshirt</t>
        </is>
      </c>
      <c r="D1604" s="1">
        <v>137434</v>
      </c>
      <c r="E1604" s="0" t="inlineStr">
        <is>
          <t>IOWA KENT M BK:137434B-M</t>
        </is>
      </c>
      <c r="F1604" s="2">
        <v>800137434057</v>
      </c>
      <c r="G1604" s="0" t="inlineStr">
        <is>
          <t>MENS</t>
        </is>
      </c>
      <c r="H1604" s="0" t="inlineStr">
        <is>
          <t>M</t>
        </is>
      </c>
      <c r="I1604" s="0">
        <v>34.99</v>
      </c>
      <c r="J1604" s="0">
        <v>1</v>
      </c>
    </row>
    <row r="1605" spans="1:10" customHeight="0">
      <c r="A1605" s="0">
        <f>HYPERLINK("https://dl.dropboxusercontent.com/scl/fi/ezkmcie5iiqah85g5ksbi/kent-137434f.jpg?rlkey=mcq6h963ouublobcbz3o5bbm8&amp;dl=0","Click to download Image")</f>
      </c>
      <c r="B1605" s="0">
        <f>HYPERLINK("https://dl.dropboxusercontent.com/scl/fi/5y73xy7y35goxkl25ec48/graphic-update2022-mens.jpg?rlkey=7paoo5iejucbso17gylhqdfof&amp;dl=0","Click to download SizeChart")</f>
      </c>
      <c r="C1605" s="0" t="inlineStr">
        <is>
          <t>Kent Men's Midweight Sweatshirt</t>
        </is>
      </c>
      <c r="D1605" s="1">
        <v>137434</v>
      </c>
      <c r="E1605" s="0" t="inlineStr">
        <is>
          <t>IOWA KENT M BK:137434C-L</t>
        </is>
      </c>
      <c r="F1605" s="2">
        <v>800137434064</v>
      </c>
      <c r="G1605" s="0" t="inlineStr">
        <is>
          <t>MENS</t>
        </is>
      </c>
      <c r="H1605" s="0" t="inlineStr">
        <is>
          <t>L</t>
        </is>
      </c>
      <c r="I1605" s="0">
        <v>34.99</v>
      </c>
      <c r="J1605" s="0">
        <v>0</v>
      </c>
    </row>
    <row r="1606" spans="1:10" customHeight="0">
      <c r="A1606" s="0">
        <f>HYPERLINK("https://dl.dropboxusercontent.com/scl/fi/ezkmcie5iiqah85g5ksbi/kent-137434f.jpg?rlkey=mcq6h963ouublobcbz3o5bbm8&amp;dl=0","Click to download Image")</f>
      </c>
      <c r="B1606" s="0">
        <f>HYPERLINK("https://dl.dropboxusercontent.com/scl/fi/5y73xy7y35goxkl25ec48/graphic-update2022-mens.jpg?rlkey=7paoo5iejucbso17gylhqdfof&amp;dl=0","Click to download SizeChart")</f>
      </c>
      <c r="C1606" s="0" t="inlineStr">
        <is>
          <t>Kent Men's Midweight Sweatshirt</t>
        </is>
      </c>
      <c r="D1606" s="1">
        <v>137434</v>
      </c>
      <c r="E1606" s="0" t="inlineStr">
        <is>
          <t>IOWA KENT M BK:137434D-XL</t>
        </is>
      </c>
      <c r="F1606" s="2">
        <v>800137434071</v>
      </c>
      <c r="G1606" s="0" t="inlineStr">
        <is>
          <t>MENS</t>
        </is>
      </c>
      <c r="H1606" s="0" t="inlineStr">
        <is>
          <t>XL</t>
        </is>
      </c>
      <c r="I1606" s="0">
        <v>34.99</v>
      </c>
      <c r="J1606" s="0">
        <v>0</v>
      </c>
    </row>
    <row r="1607" spans="1:10" customHeight="0">
      <c r="A1607" s="0">
        <f>HYPERLINK("https://dl.dropboxusercontent.com/scl/fi/ezkmcie5iiqah85g5ksbi/kent-137434f.jpg?rlkey=mcq6h963ouublobcbz3o5bbm8&amp;dl=0","Click to download Image")</f>
      </c>
      <c r="B1607" s="0">
        <f>HYPERLINK("https://dl.dropboxusercontent.com/scl/fi/5y73xy7y35goxkl25ec48/graphic-update2022-mens.jpg?rlkey=7paoo5iejucbso17gylhqdfof&amp;dl=0","Click to download SizeChart")</f>
      </c>
      <c r="C1607" s="0" t="inlineStr">
        <is>
          <t>Kent Men's Midweight Sweatshirt</t>
        </is>
      </c>
      <c r="D1607" s="1">
        <v>137434</v>
      </c>
      <c r="E1607" s="0" t="inlineStr">
        <is>
          <t>IOWA KENT M BK:137434E-2XL</t>
        </is>
      </c>
      <c r="F1607" s="2">
        <v>800137434088</v>
      </c>
      <c r="G1607" s="0" t="inlineStr">
        <is>
          <t>MENS</t>
        </is>
      </c>
      <c r="H1607" s="0" t="inlineStr">
        <is>
          <t>2XL</t>
        </is>
      </c>
      <c r="I1607" s="0">
        <v>46.99</v>
      </c>
      <c r="J1607" s="0">
        <v>0</v>
      </c>
    </row>
    <row r="1608" spans="1:10" customHeight="0">
      <c r="A1608" s="0">
        <f>HYPERLINK("https://dl.dropboxusercontent.com/scl/fi/ezkmcie5iiqah85g5ksbi/kent-137434f.jpg?rlkey=mcq6h963ouublobcbz3o5bbm8&amp;dl=0","Click to download Image")</f>
      </c>
      <c r="B1608" s="0">
        <f>HYPERLINK("https://dl.dropboxusercontent.com/scl/fi/5y73xy7y35goxkl25ec48/graphic-update2022-mens.jpg?rlkey=7paoo5iejucbso17gylhqdfof&amp;dl=0","Click to download SizeChart")</f>
      </c>
      <c r="C1608" s="0" t="inlineStr">
        <is>
          <t>Kent Men's Midweight Sweatshirt</t>
        </is>
      </c>
      <c r="D1608" s="1">
        <v>137434</v>
      </c>
      <c r="E1608" s="0" t="inlineStr">
        <is>
          <t>IOWA KENT M BK:137434F-3XL</t>
        </is>
      </c>
      <c r="F1608" s="2">
        <v>800137434095</v>
      </c>
      <c r="G1608" s="0" t="inlineStr">
        <is>
          <t>MENS</t>
        </is>
      </c>
      <c r="H1608" s="0" t="inlineStr">
        <is>
          <t>3XL</t>
        </is>
      </c>
      <c r="I1608" s="0">
        <v>46.99</v>
      </c>
      <c r="J1608" s="0">
        <v>0</v>
      </c>
    </row>
    <row r="1609" spans="1:10" customHeight="0">
      <c r="A1609" s="0">
        <f>HYPERLINK("https://dl.dropboxusercontent.com/scl/fi/r8fqky2bm6g70cefwj0pm/kent-137435f.jpg?rlkey=83gckuioweev3gra6i6ujq5ks&amp;dl=0","Click to download Image")</f>
      </c>
      <c r="B1609" s="0">
        <f>HYPERLINK("https://dl.dropboxusercontent.com/scl/fi/5y73xy7y35goxkl25ec48/graphic-update2022-mens.jpg?rlkey=7paoo5iejucbso17gylhqdfof&amp;dl=0","Click to download SizeChart")</f>
      </c>
      <c r="C1609" s="0" t="inlineStr">
        <is>
          <t>Kent Men's Midweight Sweatshirt</t>
        </is>
      </c>
      <c r="D1609" s="1">
        <v>137435</v>
      </c>
      <c r="E1609" s="0" t="inlineStr">
        <is>
          <t>IOWA KENT M HG:137435A-S</t>
        </is>
      </c>
      <c r="F1609" s="2">
        <v>800137435047</v>
      </c>
      <c r="G1609" s="0" t="inlineStr">
        <is>
          <t>MENS</t>
        </is>
      </c>
      <c r="H1609" s="0" t="inlineStr">
        <is>
          <t>S</t>
        </is>
      </c>
      <c r="I1609" s="0">
        <v>34.99</v>
      </c>
      <c r="J1609" s="0">
        <v>0</v>
      </c>
    </row>
    <row r="1610" spans="1:10" customHeight="0">
      <c r="A1610" s="0">
        <f>HYPERLINK("https://dl.dropboxusercontent.com/scl/fi/r8fqky2bm6g70cefwj0pm/kent-137435f.jpg?rlkey=83gckuioweev3gra6i6ujq5ks&amp;dl=0","Click to download Image")</f>
      </c>
      <c r="B1610" s="0">
        <f>HYPERLINK("https://dl.dropboxusercontent.com/scl/fi/5y73xy7y35goxkl25ec48/graphic-update2022-mens.jpg?rlkey=7paoo5iejucbso17gylhqdfof&amp;dl=0","Click to download SizeChart")</f>
      </c>
      <c r="C1610" s="0" t="inlineStr">
        <is>
          <t>Kent Men's Midweight Sweatshirt</t>
        </is>
      </c>
      <c r="D1610" s="1">
        <v>137435</v>
      </c>
      <c r="E1610" s="0" t="inlineStr">
        <is>
          <t>IOWA KENT M HG:137435B-M</t>
        </is>
      </c>
      <c r="F1610" s="2">
        <v>800137435054</v>
      </c>
      <c r="G1610" s="0" t="inlineStr">
        <is>
          <t>MENS</t>
        </is>
      </c>
      <c r="H1610" s="0" t="inlineStr">
        <is>
          <t>M</t>
        </is>
      </c>
      <c r="I1610" s="0">
        <v>34.99</v>
      </c>
      <c r="J1610" s="0">
        <v>0</v>
      </c>
    </row>
    <row r="1611" spans="1:10" customHeight="0">
      <c r="A1611" s="0">
        <f>HYPERLINK("https://dl.dropboxusercontent.com/scl/fi/r8fqky2bm6g70cefwj0pm/kent-137435f.jpg?rlkey=83gckuioweev3gra6i6ujq5ks&amp;dl=0","Click to download Image")</f>
      </c>
      <c r="B1611" s="0">
        <f>HYPERLINK("https://dl.dropboxusercontent.com/scl/fi/5y73xy7y35goxkl25ec48/graphic-update2022-mens.jpg?rlkey=7paoo5iejucbso17gylhqdfof&amp;dl=0","Click to download SizeChart")</f>
      </c>
      <c r="C1611" s="0" t="inlineStr">
        <is>
          <t>Kent Men's Midweight Sweatshirt</t>
        </is>
      </c>
      <c r="D1611" s="1">
        <v>137435</v>
      </c>
      <c r="E1611" s="0" t="inlineStr">
        <is>
          <t>IOWA KENT M HG:137435C-L</t>
        </is>
      </c>
      <c r="F1611" s="2">
        <v>800137435061</v>
      </c>
      <c r="G1611" s="0" t="inlineStr">
        <is>
          <t>MENS</t>
        </is>
      </c>
      <c r="H1611" s="0" t="inlineStr">
        <is>
          <t>L</t>
        </is>
      </c>
      <c r="I1611" s="0">
        <v>34.99</v>
      </c>
      <c r="J1611" s="0">
        <v>3</v>
      </c>
    </row>
    <row r="1612" spans="1:10" customHeight="0">
      <c r="A1612" s="0">
        <f>HYPERLINK("https://dl.dropboxusercontent.com/scl/fi/r8fqky2bm6g70cefwj0pm/kent-137435f.jpg?rlkey=83gckuioweev3gra6i6ujq5ks&amp;dl=0","Click to download Image")</f>
      </c>
      <c r="B1612" s="0">
        <f>HYPERLINK("https://dl.dropboxusercontent.com/scl/fi/5y73xy7y35goxkl25ec48/graphic-update2022-mens.jpg?rlkey=7paoo5iejucbso17gylhqdfof&amp;dl=0","Click to download SizeChart")</f>
      </c>
      <c r="C1612" s="0" t="inlineStr">
        <is>
          <t>Kent Men's Midweight Sweatshirt</t>
        </is>
      </c>
      <c r="D1612" s="1">
        <v>137435</v>
      </c>
      <c r="E1612" s="0" t="inlineStr">
        <is>
          <t>IOWA KENT M HG:137435D-XL</t>
        </is>
      </c>
      <c r="F1612" s="2">
        <v>800137435078</v>
      </c>
      <c r="G1612" s="0" t="inlineStr">
        <is>
          <t>MENS</t>
        </is>
      </c>
      <c r="H1612" s="0" t="inlineStr">
        <is>
          <t>XL</t>
        </is>
      </c>
      <c r="I1612" s="0">
        <v>34.99</v>
      </c>
      <c r="J1612" s="0">
        <v>0</v>
      </c>
    </row>
    <row r="1613" spans="1:10" customHeight="0">
      <c r="A1613" s="0">
        <f>HYPERLINK("https://dl.dropboxusercontent.com/scl/fi/r8fqky2bm6g70cefwj0pm/kent-137435f.jpg?rlkey=83gckuioweev3gra6i6ujq5ks&amp;dl=0","Click to download Image")</f>
      </c>
      <c r="B1613" s="0">
        <f>HYPERLINK("https://dl.dropboxusercontent.com/scl/fi/5y73xy7y35goxkl25ec48/graphic-update2022-mens.jpg?rlkey=7paoo5iejucbso17gylhqdfof&amp;dl=0","Click to download SizeChart")</f>
      </c>
      <c r="C1613" s="0" t="inlineStr">
        <is>
          <t>Kent Men's Midweight Sweatshirt</t>
        </is>
      </c>
      <c r="D1613" s="1">
        <v>137435</v>
      </c>
      <c r="E1613" s="0" t="inlineStr">
        <is>
          <t>IOWA KENT M HG:137435E-2XL</t>
        </is>
      </c>
      <c r="F1613" s="2">
        <v>800137435085</v>
      </c>
      <c r="G1613" s="0" t="inlineStr">
        <is>
          <t>MENS</t>
        </is>
      </c>
      <c r="H1613" s="0" t="inlineStr">
        <is>
          <t>2XL</t>
        </is>
      </c>
      <c r="I1613" s="0">
        <v>40.99</v>
      </c>
      <c r="J1613" s="0">
        <v>0</v>
      </c>
    </row>
    <row r="1614" spans="1:10" customHeight="0">
      <c r="A1614" s="0">
        <f>HYPERLINK("https://dl.dropboxusercontent.com/scl/fi/r8fqky2bm6g70cefwj0pm/kent-137435f.jpg?rlkey=83gckuioweev3gra6i6ujq5ks&amp;dl=0","Click to download Image")</f>
      </c>
      <c r="B1614" s="0">
        <f>HYPERLINK("https://dl.dropboxusercontent.com/scl/fi/5y73xy7y35goxkl25ec48/graphic-update2022-mens.jpg?rlkey=7paoo5iejucbso17gylhqdfof&amp;dl=0","Click to download SizeChart")</f>
      </c>
      <c r="C1614" s="0" t="inlineStr">
        <is>
          <t>Kent Men's Midweight Sweatshirt</t>
        </is>
      </c>
      <c r="D1614" s="1">
        <v>137435</v>
      </c>
      <c r="E1614" s="0" t="inlineStr">
        <is>
          <t>IOWA KENT M HG:137435F-3XL</t>
        </is>
      </c>
      <c r="F1614" s="2">
        <v>800137435092</v>
      </c>
      <c r="G1614" s="0" t="inlineStr">
        <is>
          <t>MENS</t>
        </is>
      </c>
      <c r="H1614" s="0" t="inlineStr">
        <is>
          <t>3XL</t>
        </is>
      </c>
      <c r="I1614" s="0">
        <v>40.99</v>
      </c>
      <c r="J1614" s="0">
        <v>0</v>
      </c>
    </row>
    <row r="1615" spans="1:10" customHeight="0">
      <c r="A1615" s="0">
        <f>HYPERLINK("https://dl.dropboxusercontent.com/scl/fi/x0qwhfc1al1qpvj7ow40b/hop.jpg?rlkey=wt3lz0e9p9qlw7ixgclqgdwll&amp;dl=0","Click to download Image")</f>
      </c>
      <c r="B1615" s="0">
        <f>HYPERLINK("https://dl.dropboxusercontent.com/scl/fi/y4jz4d46dd8biq3u52kin/mens-t-shirt-size-chartsslate-cason.jpg?rlkey=i2d3jf0u7po310k1ux1tauk2n&amp;dl=0","Click to download SizeChart")</f>
      </c>
      <c r="C1615" s="0" t="inlineStr">
        <is>
          <t>Herky On Parade 2024 Slate T-Shirt</t>
        </is>
      </c>
      <c r="D1615" s="1">
        <v>153430</v>
      </c>
      <c r="E1615" s="0" t="inlineStr">
        <is>
          <t>HERKY SLATE M BK:153430AA-XS</t>
        </is>
      </c>
      <c r="F1615" s="2">
        <v>800153430033</v>
      </c>
      <c r="G1615" s="0" t="inlineStr">
        <is>
          <t>MENS</t>
        </is>
      </c>
      <c r="H1615" s="0" t="inlineStr">
        <is>
          <t>XS</t>
        </is>
      </c>
      <c r="I1615" s="0">
        <v>29.99</v>
      </c>
      <c r="J1615" s="0">
        <v>36</v>
      </c>
    </row>
    <row r="1616" spans="1:10" customHeight="0">
      <c r="A1616" s="0">
        <f>HYPERLINK("https://dl.dropboxusercontent.com/scl/fi/x0qwhfc1al1qpvj7ow40b/hop.jpg?rlkey=wt3lz0e9p9qlw7ixgclqgdwll&amp;dl=0","Click to download Image")</f>
      </c>
      <c r="B1616" s="0">
        <f>HYPERLINK("https://dl.dropboxusercontent.com/scl/fi/y4jz4d46dd8biq3u52kin/mens-t-shirt-size-chartsslate-cason.jpg?rlkey=i2d3jf0u7po310k1ux1tauk2n&amp;dl=0","Click to download SizeChart")</f>
      </c>
      <c r="C1616" s="0" t="inlineStr">
        <is>
          <t>Herky On Parade 2024 Slate T-Shirt</t>
        </is>
      </c>
      <c r="D1616" s="1">
        <v>153430</v>
      </c>
      <c r="E1616" s="0" t="inlineStr">
        <is>
          <t>HERKY SLATE M BK:153430A-S</t>
        </is>
      </c>
      <c r="F1616" s="2">
        <v>800153430040</v>
      </c>
      <c r="G1616" s="0" t="inlineStr">
        <is>
          <t>MENS</t>
        </is>
      </c>
      <c r="H1616" s="0" t="inlineStr">
        <is>
          <t>S</t>
        </is>
      </c>
      <c r="I1616" s="0">
        <v>29.99</v>
      </c>
      <c r="J1616" s="0">
        <v>167</v>
      </c>
    </row>
    <row r="1617" spans="1:10" customHeight="0">
      <c r="A1617" s="0">
        <f>HYPERLINK("https://dl.dropboxusercontent.com/scl/fi/x0qwhfc1al1qpvj7ow40b/hop.jpg?rlkey=wt3lz0e9p9qlw7ixgclqgdwll&amp;dl=0","Click to download Image")</f>
      </c>
      <c r="B1617" s="0">
        <f>HYPERLINK("https://dl.dropboxusercontent.com/scl/fi/y4jz4d46dd8biq3u52kin/mens-t-shirt-size-chartsslate-cason.jpg?rlkey=i2d3jf0u7po310k1ux1tauk2n&amp;dl=0","Click to download SizeChart")</f>
      </c>
      <c r="C1617" s="0" t="inlineStr">
        <is>
          <t>Herky On Parade 2024 Slate T-Shirt</t>
        </is>
      </c>
      <c r="D1617" s="1">
        <v>153430</v>
      </c>
      <c r="E1617" s="0" t="inlineStr">
        <is>
          <t>HERKY SLATE M BK:153430B-M</t>
        </is>
      </c>
      <c r="F1617" s="2">
        <v>800153430057</v>
      </c>
      <c r="G1617" s="0" t="inlineStr">
        <is>
          <t>MENS</t>
        </is>
      </c>
      <c r="H1617" s="0" t="inlineStr">
        <is>
          <t>M</t>
        </is>
      </c>
      <c r="I1617" s="0">
        <v>29.99</v>
      </c>
      <c r="J1617" s="0">
        <v>167</v>
      </c>
    </row>
    <row r="1618" spans="1:10" customHeight="0">
      <c r="A1618" s="0">
        <f>HYPERLINK("https://dl.dropboxusercontent.com/scl/fi/x0qwhfc1al1qpvj7ow40b/hop.jpg?rlkey=wt3lz0e9p9qlw7ixgclqgdwll&amp;dl=0","Click to download Image")</f>
      </c>
      <c r="B1618" s="0">
        <f>HYPERLINK("https://dl.dropboxusercontent.com/scl/fi/y4jz4d46dd8biq3u52kin/mens-t-shirt-size-chartsslate-cason.jpg?rlkey=i2d3jf0u7po310k1ux1tauk2n&amp;dl=0","Click to download SizeChart")</f>
      </c>
      <c r="C1618" s="0" t="inlineStr">
        <is>
          <t>Herky On Parade 2024 Slate T-Shirt</t>
        </is>
      </c>
      <c r="D1618" s="1">
        <v>153430</v>
      </c>
      <c r="E1618" s="0" t="inlineStr">
        <is>
          <t>HERKY SLATE M BK:153430C-L</t>
        </is>
      </c>
      <c r="F1618" s="2">
        <v>800153430064</v>
      </c>
      <c r="G1618" s="0" t="inlineStr">
        <is>
          <t>MENS</t>
        </is>
      </c>
      <c r="H1618" s="0" t="inlineStr">
        <is>
          <t>L</t>
        </is>
      </c>
      <c r="I1618" s="0">
        <v>29.99</v>
      </c>
      <c r="J1618" s="0">
        <v>167</v>
      </c>
    </row>
    <row r="1619" spans="1:10" customHeight="0">
      <c r="A1619" s="0">
        <f>HYPERLINK("https://dl.dropboxusercontent.com/scl/fi/x0qwhfc1al1qpvj7ow40b/hop.jpg?rlkey=wt3lz0e9p9qlw7ixgclqgdwll&amp;dl=0","Click to download Image")</f>
      </c>
      <c r="B1619" s="0">
        <f>HYPERLINK("https://dl.dropboxusercontent.com/scl/fi/y4jz4d46dd8biq3u52kin/mens-t-shirt-size-chartsslate-cason.jpg?rlkey=i2d3jf0u7po310k1ux1tauk2n&amp;dl=0","Click to download SizeChart")</f>
      </c>
      <c r="C1619" s="0" t="inlineStr">
        <is>
          <t>Herky On Parade 2024 Slate T-Shirt</t>
        </is>
      </c>
      <c r="D1619" s="1">
        <v>153430</v>
      </c>
      <c r="E1619" s="0" t="inlineStr">
        <is>
          <t>HERKY SLATE M BK:153430D-XL</t>
        </is>
      </c>
      <c r="F1619" s="2">
        <v>800153430071</v>
      </c>
      <c r="G1619" s="0" t="inlineStr">
        <is>
          <t>MENS</t>
        </is>
      </c>
      <c r="H1619" s="0" t="inlineStr">
        <is>
          <t>XL</t>
        </is>
      </c>
      <c r="I1619" s="0">
        <v>29.99</v>
      </c>
      <c r="J1619" s="0">
        <v>167</v>
      </c>
    </row>
    <row r="1620" spans="1:10" customHeight="0">
      <c r="A1620" s="0">
        <f>HYPERLINK("https://dl.dropboxusercontent.com/scl/fi/x0qwhfc1al1qpvj7ow40b/hop.jpg?rlkey=wt3lz0e9p9qlw7ixgclqgdwll&amp;dl=0","Click to download Image")</f>
      </c>
      <c r="B1620" s="0">
        <f>HYPERLINK("https://dl.dropboxusercontent.com/scl/fi/y4jz4d46dd8biq3u52kin/mens-t-shirt-size-chartsslate-cason.jpg?rlkey=i2d3jf0u7po310k1ux1tauk2n&amp;dl=0","Click to download SizeChart")</f>
      </c>
      <c r="C1620" s="0" t="inlineStr">
        <is>
          <t>Herky On Parade 2024 Slate T-Shirt</t>
        </is>
      </c>
      <c r="D1620" s="1">
        <v>153430</v>
      </c>
      <c r="E1620" s="0" t="inlineStr">
        <is>
          <t>HERKY SLATE M BK:153430E-2XL</t>
        </is>
      </c>
      <c r="F1620" s="2">
        <v>800153430088</v>
      </c>
      <c r="G1620" s="0" t="inlineStr">
        <is>
          <t>MENS</t>
        </is>
      </c>
      <c r="H1620" s="0" t="inlineStr">
        <is>
          <t>2XL</t>
        </is>
      </c>
      <c r="I1620" s="0">
        <v>31.99</v>
      </c>
      <c r="J1620" s="0">
        <v>167</v>
      </c>
    </row>
    <row r="1621" spans="1:10" customHeight="0">
      <c r="A1621" s="0">
        <f>HYPERLINK("https://dl.dropboxusercontent.com/scl/fi/x0qwhfc1al1qpvj7ow40b/hop.jpg?rlkey=wt3lz0e9p9qlw7ixgclqgdwll&amp;dl=0","Click to download Image")</f>
      </c>
      <c r="B1621" s="0">
        <f>HYPERLINK("https://dl.dropboxusercontent.com/scl/fi/y4jz4d46dd8biq3u52kin/mens-t-shirt-size-chartsslate-cason.jpg?rlkey=i2d3jf0u7po310k1ux1tauk2n&amp;dl=0","Click to download SizeChart")</f>
      </c>
      <c r="C1621" s="0" t="inlineStr">
        <is>
          <t>Herky On Parade 2024 Slate T-Shirt</t>
        </is>
      </c>
      <c r="D1621" s="1">
        <v>153430</v>
      </c>
      <c r="E1621" s="0" t="inlineStr">
        <is>
          <t>HERKY SLATE M BK:153430F-3XL</t>
        </is>
      </c>
      <c r="F1621" s="2">
        <v>800153430095</v>
      </c>
      <c r="G1621" s="0" t="inlineStr">
        <is>
          <t>MENS</t>
        </is>
      </c>
      <c r="H1621" s="0" t="inlineStr">
        <is>
          <t>3XL</t>
        </is>
      </c>
      <c r="I1621" s="0">
        <v>31.99</v>
      </c>
      <c r="J1621" s="0">
        <v>29</v>
      </c>
    </row>
    <row r="1622" spans="1:10" customHeight="0">
      <c r="A1622" s="0">
        <f>HYPERLINK("https://dl.dropboxusercontent.com/scl/fi/x0qwhfc1al1qpvj7ow40b/hop.jpg?rlkey=wt3lz0e9p9qlw7ixgclqgdwll&amp;dl=0","Click to download Image")</f>
      </c>
      <c r="B1622" s="0">
        <f>HYPERLINK("https://dl.dropboxusercontent.com/scl/fi/y4jz4d46dd8biq3u52kin/mens-t-shirt-size-chartsslate-cason.jpg?rlkey=i2d3jf0u7po310k1ux1tauk2n&amp;dl=0","Click to download SizeChart")</f>
      </c>
      <c r="C1622" s="0" t="inlineStr">
        <is>
          <t>Herky On Parade 2024 Slate T-Shirt</t>
        </is>
      </c>
      <c r="D1622" s="1">
        <v>153430</v>
      </c>
      <c r="E1622" s="0" t="inlineStr">
        <is>
          <t>HERKY SLATE M BK:153430G-4XL</t>
        </is>
      </c>
      <c r="F1622" s="2">
        <v>800153430101</v>
      </c>
      <c r="G1622" s="0" t="inlineStr">
        <is>
          <t>MENS</t>
        </is>
      </c>
      <c r="H1622" s="0" t="inlineStr">
        <is>
          <t>4XL</t>
        </is>
      </c>
      <c r="I1622" s="0">
        <v>33.99</v>
      </c>
      <c r="J1622" s="0">
        <v>127</v>
      </c>
    </row>
    <row r="1623" spans="1:10" customHeight="0">
      <c r="A1623" s="0">
        <f>HYPERLINK("https://dl.dropboxusercontent.com/scl/fi/x0qwhfc1al1qpvj7ow40b/hop.jpg?rlkey=wt3lz0e9p9qlw7ixgclqgdwll&amp;dl=0","Click to download Image")</f>
      </c>
      <c r="B1623" s="0">
        <f>HYPERLINK("https://dl.dropboxusercontent.com/scl/fi/y4jz4d46dd8biq3u52kin/mens-t-shirt-size-chartsslate-cason.jpg?rlkey=i2d3jf0u7po310k1ux1tauk2n&amp;dl=0","Click to download SizeChart")</f>
      </c>
      <c r="C1623" s="0" t="inlineStr">
        <is>
          <t>Herky On Parade 2024 Slate T-Shirt</t>
        </is>
      </c>
      <c r="D1623" s="1">
        <v>153430</v>
      </c>
      <c r="E1623" s="0" t="inlineStr">
        <is>
          <t>HERKY SLATE M BK:153430H-5XL</t>
        </is>
      </c>
      <c r="F1623" s="2">
        <v>800153430118</v>
      </c>
      <c r="G1623" s="0" t="inlineStr">
        <is>
          <t>MENS</t>
        </is>
      </c>
      <c r="H1623" s="0" t="inlineStr">
        <is>
          <t>5XL</t>
        </is>
      </c>
      <c r="I1623" s="0">
        <v>33.99</v>
      </c>
      <c r="J1623" s="0">
        <v>0</v>
      </c>
    </row>
    <row r="1624" spans="1:10" customHeight="0">
      <c r="A1624" s="0">
        <f>HYPERLINK("https://dl.dropboxusercontent.com/scl/fi/x0qwhfc1al1qpvj7ow40b/hop.jpg?rlkey=wt3lz0e9p9qlw7ixgclqgdwll&amp;dl=0","Click to download Image")</f>
      </c>
      <c r="B1624" s="0">
        <f>HYPERLINK("https://dl.dropboxusercontent.com/scl/fi/y4jz4d46dd8biq3u52kin/mens-t-shirt-size-chartsslate-cason.jpg?rlkey=i2d3jf0u7po310k1ux1tauk2n&amp;dl=0","Click to download SizeChart")</f>
      </c>
      <c r="C1624" s="0" t="inlineStr">
        <is>
          <t>Herky On Parade 2024 Slate T-Shirt</t>
        </is>
      </c>
      <c r="D1624" s="1">
        <v>153430</v>
      </c>
      <c r="E1624" s="0" t="inlineStr">
        <is>
          <t>HERKY SLATE M BK:153430I-6XL</t>
        </is>
      </c>
      <c r="F1624" s="2">
        <v>800153430125</v>
      </c>
      <c r="G1624" s="0" t="inlineStr">
        <is>
          <t>MENS</t>
        </is>
      </c>
      <c r="H1624" s="0" t="inlineStr">
        <is>
          <t>6XL</t>
        </is>
      </c>
      <c r="I1624" s="0">
        <v>35.99</v>
      </c>
      <c r="J1624" s="0">
        <v>1</v>
      </c>
    </row>
    <row r="1625" spans="1:10" customHeight="0">
      <c r="A1625" s="0">
        <f>HYPERLINK("https://dl.dropboxusercontent.com/scl/fi/cw67hydc757k6ok52hggo/301594source1707249115.jpg?rlkey=o80kbju3veiy8hkf9ckxms0jz&amp;dl=0","Click to download Image")</f>
      </c>
      <c r="C1625" s="0" t="inlineStr">
        <is>
          <t>Waffle Knit Sports Towels</t>
        </is>
      </c>
      <c r="D1625" s="1">
        <v>152386</v>
      </c>
      <c r="E1625" s="0" t="inlineStr">
        <is>
          <t>MTO WAFFLE BK:152386</t>
        </is>
      </c>
      <c r="F1625" s="2">
        <v>900152386017</v>
      </c>
      <c r="I1625" s="0">
        <v>14.99</v>
      </c>
      <c r="J1625" s="0">
        <v>87</v>
      </c>
    </row>
    <row r="1626" spans="1:10" customHeight="0">
      <c r="A1626" s="0">
        <f>HYPERLINK("https://dl.dropboxusercontent.com/scl/fi/wzje4ujfbj5e5phobsnkx/301597source1707249303.jpg?rlkey=pta778uiyqeg3ogqou8frc3v9&amp;dl=0","Click to download Image")</f>
      </c>
      <c r="C1626" s="0" t="inlineStr">
        <is>
          <t>Waffle Knit Sports Towels</t>
        </is>
      </c>
      <c r="D1626" s="1">
        <v>152390</v>
      </c>
      <c r="E1626" s="0" t="inlineStr">
        <is>
          <t>MTO WAFFLE WE:152390</t>
        </is>
      </c>
      <c r="F1626" s="2">
        <v>900152390014</v>
      </c>
      <c r="I1626" s="0">
        <v>14.99</v>
      </c>
      <c r="J1626" s="0">
        <v>196</v>
      </c>
    </row>
    <row r="1627" spans="1:10" customHeight="0">
      <c r="A1627" s="0">
        <f>HYPERLINK("https://dl.dropboxusercontent.com/scl/fi/49ipq8er8cypp42a9j7na/108240-af.png?rlkey=rargrhc9ln9r2wbmfa4y055jb&amp;dl=0","Click to download Image")</f>
      </c>
      <c r="C1627" s="0" t="inlineStr">
        <is>
          <t>Django Men's Midweight Hoodie</t>
        </is>
      </c>
      <c r="D1627" s="1">
        <v>108240</v>
      </c>
      <c r="E1627" s="0" t="inlineStr">
        <is>
          <t>IA DJANGO BLACK:108240A-S</t>
        </is>
      </c>
      <c r="F1627" s="2">
        <v>800108240014</v>
      </c>
      <c r="G1627" s="0" t="inlineStr">
        <is>
          <t>MENS</t>
        </is>
      </c>
      <c r="H1627" s="0" t="inlineStr">
        <is>
          <t>S</t>
        </is>
      </c>
      <c r="I1627" s="0">
        <v>29.99</v>
      </c>
      <c r="J1627" s="0">
        <v>0</v>
      </c>
    </row>
    <row r="1628" spans="1:10" customHeight="0">
      <c r="A1628" s="0">
        <f>HYPERLINK("https://dl.dropboxusercontent.com/scl/fi/49ipq8er8cypp42a9j7na/108240-af.png?rlkey=rargrhc9ln9r2wbmfa4y055jb&amp;dl=0","Click to download Image")</f>
      </c>
      <c r="C1628" s="0" t="inlineStr">
        <is>
          <t>Django Men's Midweight Hoodie</t>
        </is>
      </c>
      <c r="D1628" s="1">
        <v>108240</v>
      </c>
      <c r="E1628" s="0" t="inlineStr">
        <is>
          <t>IA DJANGO BLACK:108240B-M</t>
        </is>
      </c>
      <c r="F1628" s="2">
        <v>800108240021</v>
      </c>
      <c r="G1628" s="0" t="inlineStr">
        <is>
          <t>MENS</t>
        </is>
      </c>
      <c r="H1628" s="0" t="inlineStr">
        <is>
          <t>M</t>
        </is>
      </c>
      <c r="I1628" s="0">
        <v>29.99</v>
      </c>
      <c r="J1628" s="0">
        <v>2</v>
      </c>
    </row>
    <row r="1629" spans="1:10" customHeight="0">
      <c r="A1629" s="0">
        <f>HYPERLINK("https://dl.dropboxusercontent.com/scl/fi/49ipq8er8cypp42a9j7na/108240-af.png?rlkey=rargrhc9ln9r2wbmfa4y055jb&amp;dl=0","Click to download Image")</f>
      </c>
      <c r="C1629" s="0" t="inlineStr">
        <is>
          <t>Django Men's Midweight Hoodie</t>
        </is>
      </c>
      <c r="D1629" s="1">
        <v>108240</v>
      </c>
      <c r="E1629" s="0" t="inlineStr">
        <is>
          <t>IA DJANGO BLACK:108240C-L</t>
        </is>
      </c>
      <c r="F1629" s="2">
        <v>800108240038</v>
      </c>
      <c r="G1629" s="0" t="inlineStr">
        <is>
          <t>MENS</t>
        </is>
      </c>
      <c r="H1629" s="0" t="inlineStr">
        <is>
          <t>L</t>
        </is>
      </c>
      <c r="I1629" s="0">
        <v>29.99</v>
      </c>
      <c r="J1629" s="0">
        <v>0</v>
      </c>
    </row>
    <row r="1630" spans="1:10" customHeight="0">
      <c r="A1630" s="0">
        <f>HYPERLINK("https://dl.dropboxusercontent.com/scl/fi/49ipq8er8cypp42a9j7na/108240-af.png?rlkey=rargrhc9ln9r2wbmfa4y055jb&amp;dl=0","Click to download Image")</f>
      </c>
      <c r="C1630" s="0" t="inlineStr">
        <is>
          <t>Django Men's Midweight Hoodie</t>
        </is>
      </c>
      <c r="D1630" s="1">
        <v>108240</v>
      </c>
      <c r="E1630" s="0" t="inlineStr">
        <is>
          <t>IA DJANGO BLACK:108240D-XL</t>
        </is>
      </c>
      <c r="F1630" s="2">
        <v>800108240045</v>
      </c>
      <c r="G1630" s="0" t="inlineStr">
        <is>
          <t>MENS</t>
        </is>
      </c>
      <c r="H1630" s="0" t="inlineStr">
        <is>
          <t>XL</t>
        </is>
      </c>
      <c r="I1630" s="0">
        <v>29.99</v>
      </c>
      <c r="J1630" s="0">
        <v>0</v>
      </c>
    </row>
    <row r="1631" spans="1:10" customHeight="0">
      <c r="A1631" s="0">
        <f>HYPERLINK("https://dl.dropboxusercontent.com/scl/fi/49ipq8er8cypp42a9j7na/108240-af.png?rlkey=rargrhc9ln9r2wbmfa4y055jb&amp;dl=0","Click to download Image")</f>
      </c>
      <c r="C1631" s="0" t="inlineStr">
        <is>
          <t>Django Men's Midweight Hoodie</t>
        </is>
      </c>
      <c r="D1631" s="1">
        <v>108240</v>
      </c>
      <c r="E1631" s="0" t="inlineStr">
        <is>
          <t>IA DJANGO BLACK:108240E-2XL</t>
        </is>
      </c>
      <c r="F1631" s="2">
        <v>800108240052</v>
      </c>
      <c r="G1631" s="0" t="inlineStr">
        <is>
          <t>MENS</t>
        </is>
      </c>
      <c r="H1631" s="0" t="inlineStr">
        <is>
          <t>2XL</t>
        </is>
      </c>
      <c r="I1631" s="0">
        <v>31.99</v>
      </c>
      <c r="J1631" s="0">
        <v>0</v>
      </c>
    </row>
    <row r="1632" spans="1:10" customHeight="0">
      <c r="A1632" s="0">
        <f>HYPERLINK("https://dl.dropboxusercontent.com/scl/fi/49ipq8er8cypp42a9j7na/108240-af.png?rlkey=rargrhc9ln9r2wbmfa4y055jb&amp;dl=0","Click to download Image")</f>
      </c>
      <c r="C1632" s="0" t="inlineStr">
        <is>
          <t>Django Men's Midweight Hoodie</t>
        </is>
      </c>
      <c r="D1632" s="1">
        <v>108240</v>
      </c>
      <c r="E1632" s="0" t="inlineStr">
        <is>
          <t>IA DJANGO BLACK:108240F-3XL</t>
        </is>
      </c>
      <c r="F1632" s="2">
        <v>800108240069</v>
      </c>
      <c r="G1632" s="0" t="inlineStr">
        <is>
          <t>MENS</t>
        </is>
      </c>
      <c r="H1632" s="0" t="inlineStr">
        <is>
          <t>3XL</t>
        </is>
      </c>
      <c r="I1632" s="0">
        <v>31.99</v>
      </c>
      <c r="J1632" s="0">
        <v>0</v>
      </c>
    </row>
    <row r="1633" spans="1:10" customHeight="0">
      <c r="A1633" s="0">
        <f>HYPERLINK("https://dl.dropboxusercontent.com/scl/fi/jef1vg7bpcltjuv17tyl0/long-sleeve-01.jpg?rlkey=7j11ek72w5k4yp841pg85fifz&amp;dl=0","Click to download Image")</f>
      </c>
      <c r="B1633" s="0">
        <f>HYPERLINK("https://dl.dropboxusercontent.com/scl/fi/8xybrskr4i3n0x4k4fhih/mens-t-shirt-size-chartscason-slate-ls.jpg?rlkey=riw2im1i72lgtlz4mugt9lmvw&amp;dl=0","Click to download SizeChart")</f>
      </c>
      <c r="C1633" s="0" t="inlineStr">
        <is>
          <t>Long Sleeve Men's T-Shirt</t>
        </is>
      </c>
      <c r="D1633" s="1">
        <v>155276</v>
      </c>
      <c r="E1633" s="0" t="inlineStr">
        <is>
          <t>IOWA CASLS M GY:155276A-S</t>
        </is>
      </c>
      <c r="F1633" s="2">
        <v>800155276042</v>
      </c>
      <c r="G1633" s="0" t="inlineStr">
        <is>
          <t>MENS</t>
        </is>
      </c>
      <c r="H1633" s="0" t="inlineStr">
        <is>
          <t>S</t>
        </is>
      </c>
      <c r="I1633" s="0">
        <v>32.99</v>
      </c>
      <c r="J1633" s="0">
        <v>0</v>
      </c>
    </row>
    <row r="1634" spans="1:10" customHeight="0">
      <c r="A1634" s="0">
        <f>HYPERLINK("https://dl.dropboxusercontent.com/scl/fi/jef1vg7bpcltjuv17tyl0/long-sleeve-01.jpg?rlkey=7j11ek72w5k4yp841pg85fifz&amp;dl=0","Click to download Image")</f>
      </c>
      <c r="B1634" s="0">
        <f>HYPERLINK("https://dl.dropboxusercontent.com/scl/fi/8xybrskr4i3n0x4k4fhih/mens-t-shirt-size-chartscason-slate-ls.jpg?rlkey=riw2im1i72lgtlz4mugt9lmvw&amp;dl=0","Click to download SizeChart")</f>
      </c>
      <c r="C1634" s="0" t="inlineStr">
        <is>
          <t>Long Sleeve Men's T-Shirt</t>
        </is>
      </c>
      <c r="D1634" s="1">
        <v>155276</v>
      </c>
      <c r="E1634" s="0" t="inlineStr">
        <is>
          <t>IOWA CASLS M GY:155276B-M</t>
        </is>
      </c>
      <c r="F1634" s="2">
        <v>800155276059</v>
      </c>
      <c r="G1634" s="0" t="inlineStr">
        <is>
          <t>MENS</t>
        </is>
      </c>
      <c r="H1634" s="0" t="inlineStr">
        <is>
          <t>M</t>
        </is>
      </c>
      <c r="I1634" s="0">
        <v>32.99</v>
      </c>
      <c r="J1634" s="0">
        <v>0</v>
      </c>
    </row>
    <row r="1635" spans="1:10" customHeight="0">
      <c r="A1635" s="0">
        <f>HYPERLINK("https://dl.dropboxusercontent.com/scl/fi/jef1vg7bpcltjuv17tyl0/long-sleeve-01.jpg?rlkey=7j11ek72w5k4yp841pg85fifz&amp;dl=0","Click to download Image")</f>
      </c>
      <c r="B1635" s="0">
        <f>HYPERLINK("https://dl.dropboxusercontent.com/scl/fi/8xybrskr4i3n0x4k4fhih/mens-t-shirt-size-chartscason-slate-ls.jpg?rlkey=riw2im1i72lgtlz4mugt9lmvw&amp;dl=0","Click to download SizeChart")</f>
      </c>
      <c r="C1635" s="0" t="inlineStr">
        <is>
          <t>Long Sleeve Men's T-Shirt</t>
        </is>
      </c>
      <c r="D1635" s="1">
        <v>155276</v>
      </c>
      <c r="E1635" s="0" t="inlineStr">
        <is>
          <t>IOWA CASLS M GY:155276C-L</t>
        </is>
      </c>
      <c r="F1635" s="2">
        <v>800155276066</v>
      </c>
      <c r="G1635" s="0" t="inlineStr">
        <is>
          <t>MENS</t>
        </is>
      </c>
      <c r="H1635" s="0" t="inlineStr">
        <is>
          <t>L</t>
        </is>
      </c>
      <c r="I1635" s="0">
        <v>32.99</v>
      </c>
      <c r="J1635" s="0">
        <v>0</v>
      </c>
    </row>
    <row r="1636" spans="1:10" customHeight="0">
      <c r="A1636" s="0">
        <f>HYPERLINK("https://dl.dropboxusercontent.com/scl/fi/jef1vg7bpcltjuv17tyl0/long-sleeve-01.jpg?rlkey=7j11ek72w5k4yp841pg85fifz&amp;dl=0","Click to download Image")</f>
      </c>
      <c r="B1636" s="0">
        <f>HYPERLINK("https://dl.dropboxusercontent.com/scl/fi/8xybrskr4i3n0x4k4fhih/mens-t-shirt-size-chartscason-slate-ls.jpg?rlkey=riw2im1i72lgtlz4mugt9lmvw&amp;dl=0","Click to download SizeChart")</f>
      </c>
      <c r="C1636" s="0" t="inlineStr">
        <is>
          <t>Long Sleeve Men's T-Shirt</t>
        </is>
      </c>
      <c r="D1636" s="1">
        <v>155276</v>
      </c>
      <c r="E1636" s="0" t="inlineStr">
        <is>
          <t>IOWA CASLS M GY:155276D-XL</t>
        </is>
      </c>
      <c r="F1636" s="2">
        <v>800155276073</v>
      </c>
      <c r="G1636" s="0" t="inlineStr">
        <is>
          <t>MENS</t>
        </is>
      </c>
      <c r="H1636" s="0" t="inlineStr">
        <is>
          <t>XL</t>
        </is>
      </c>
      <c r="I1636" s="0">
        <v>32.99</v>
      </c>
      <c r="J1636" s="0">
        <v>0</v>
      </c>
    </row>
    <row r="1637" spans="1:10" customHeight="0">
      <c r="A1637" s="0">
        <f>HYPERLINK("https://dl.dropboxusercontent.com/scl/fi/jef1vg7bpcltjuv17tyl0/long-sleeve-01.jpg?rlkey=7j11ek72w5k4yp841pg85fifz&amp;dl=0","Click to download Image")</f>
      </c>
      <c r="B1637" s="0">
        <f>HYPERLINK("https://dl.dropboxusercontent.com/scl/fi/8xybrskr4i3n0x4k4fhih/mens-t-shirt-size-chartscason-slate-ls.jpg?rlkey=riw2im1i72lgtlz4mugt9lmvw&amp;dl=0","Click to download SizeChart")</f>
      </c>
      <c r="C1637" s="0" t="inlineStr">
        <is>
          <t>Long Sleeve Men's T-Shirt</t>
        </is>
      </c>
      <c r="D1637" s="1">
        <v>155276</v>
      </c>
      <c r="E1637" s="0" t="inlineStr">
        <is>
          <t>IOWA CASLS M GY:155276E-2XL</t>
        </is>
      </c>
      <c r="F1637" s="2">
        <v>800155276080</v>
      </c>
      <c r="G1637" s="0" t="inlineStr">
        <is>
          <t>MENS</t>
        </is>
      </c>
      <c r="H1637" s="0" t="inlineStr">
        <is>
          <t>2XL</t>
        </is>
      </c>
      <c r="I1637" s="0">
        <v>34.99</v>
      </c>
      <c r="J1637" s="0">
        <v>2</v>
      </c>
    </row>
    <row r="1638" spans="1:10" customHeight="0">
      <c r="A1638" s="0">
        <f>HYPERLINK("https://dl.dropboxusercontent.com/scl/fi/jef1vg7bpcltjuv17tyl0/long-sleeve-01.jpg?rlkey=7j11ek72w5k4yp841pg85fifz&amp;dl=0","Click to download Image")</f>
      </c>
      <c r="B1638" s="0">
        <f>HYPERLINK("https://dl.dropboxusercontent.com/scl/fi/8xybrskr4i3n0x4k4fhih/mens-t-shirt-size-chartscason-slate-ls.jpg?rlkey=riw2im1i72lgtlz4mugt9lmvw&amp;dl=0","Click to download SizeChart")</f>
      </c>
      <c r="C1638" s="0" t="inlineStr">
        <is>
          <t>Long Sleeve Men's T-Shirt</t>
        </is>
      </c>
      <c r="D1638" s="1">
        <v>155276</v>
      </c>
      <c r="E1638" s="0" t="inlineStr">
        <is>
          <t>IOWA CASLS M GY:155276F-3XL</t>
        </is>
      </c>
      <c r="F1638" s="2">
        <v>800155276097</v>
      </c>
      <c r="G1638" s="0" t="inlineStr">
        <is>
          <t>MENS</t>
        </is>
      </c>
      <c r="H1638" s="0" t="inlineStr">
        <is>
          <t>3XL</t>
        </is>
      </c>
      <c r="I1638" s="0">
        <v>34.99</v>
      </c>
      <c r="J1638" s="0">
        <v>4</v>
      </c>
    </row>
    <row r="1639" spans="1:10" customHeight="0">
      <c r="A1639" s="0">
        <f>HYPERLINK("https://dl.dropboxusercontent.com/scl/fi/rlnxkraum2nnuyrcvc595/long-sleeve-05.jpg?rlkey=hhd7yeiyhpnigz8rsaepqzsgi&amp;dl=0","Click to download Image")</f>
      </c>
      <c r="B1639" s="0">
        <f>HYPERLINK("https://dl.dropboxusercontent.com/scl/fi/8xybrskr4i3n0x4k4fhih/mens-t-shirt-size-chartscason-slate-ls.jpg?rlkey=riw2im1i72lgtlz4mugt9lmvw&amp;dl=0","Click to download SizeChart")</f>
      </c>
      <c r="C1639" s="0" t="inlineStr">
        <is>
          <t>Long Sleeve Men's T-Shirt</t>
        </is>
      </c>
      <c r="D1639" s="1">
        <v>155278</v>
      </c>
      <c r="E1639" s="0" t="inlineStr">
        <is>
          <t>IOWA CASLS M WE:155278A-S</t>
        </is>
      </c>
      <c r="F1639" s="2">
        <v>800155278046</v>
      </c>
      <c r="G1639" s="0" t="inlineStr">
        <is>
          <t>MENS</t>
        </is>
      </c>
      <c r="H1639" s="0" t="inlineStr">
        <is>
          <t>S</t>
        </is>
      </c>
      <c r="I1639" s="0">
        <v>32.99</v>
      </c>
      <c r="J1639" s="0">
        <v>0</v>
      </c>
    </row>
    <row r="1640" spans="1:10" customHeight="0">
      <c r="A1640" s="0">
        <f>HYPERLINK("https://dl.dropboxusercontent.com/scl/fi/rlnxkraum2nnuyrcvc595/long-sleeve-05.jpg?rlkey=hhd7yeiyhpnigz8rsaepqzsgi&amp;dl=0","Click to download Image")</f>
      </c>
      <c r="B1640" s="0">
        <f>HYPERLINK("https://dl.dropboxusercontent.com/scl/fi/8xybrskr4i3n0x4k4fhih/mens-t-shirt-size-chartscason-slate-ls.jpg?rlkey=riw2im1i72lgtlz4mugt9lmvw&amp;dl=0","Click to download SizeChart")</f>
      </c>
      <c r="C1640" s="0" t="inlineStr">
        <is>
          <t>Long Sleeve Men's T-Shirt</t>
        </is>
      </c>
      <c r="D1640" s="1">
        <v>155278</v>
      </c>
      <c r="E1640" s="0" t="inlineStr">
        <is>
          <t>IOWA CASLS M WE:155278B-M</t>
        </is>
      </c>
      <c r="F1640" s="2">
        <v>800155278053</v>
      </c>
      <c r="G1640" s="0" t="inlineStr">
        <is>
          <t>MENS</t>
        </is>
      </c>
      <c r="H1640" s="0" t="inlineStr">
        <is>
          <t>M</t>
        </is>
      </c>
      <c r="I1640" s="0">
        <v>32.99</v>
      </c>
      <c r="J1640" s="0">
        <v>-1</v>
      </c>
    </row>
    <row r="1641" spans="1:10" customHeight="0">
      <c r="A1641" s="0">
        <f>HYPERLINK("https://dl.dropboxusercontent.com/scl/fi/rlnxkraum2nnuyrcvc595/long-sleeve-05.jpg?rlkey=hhd7yeiyhpnigz8rsaepqzsgi&amp;dl=0","Click to download Image")</f>
      </c>
      <c r="B1641" s="0">
        <f>HYPERLINK("https://dl.dropboxusercontent.com/scl/fi/8xybrskr4i3n0x4k4fhih/mens-t-shirt-size-chartscason-slate-ls.jpg?rlkey=riw2im1i72lgtlz4mugt9lmvw&amp;dl=0","Click to download SizeChart")</f>
      </c>
      <c r="C1641" s="0" t="inlineStr">
        <is>
          <t>Long Sleeve Men's T-Shirt</t>
        </is>
      </c>
      <c r="D1641" s="1">
        <v>155278</v>
      </c>
      <c r="E1641" s="0" t="inlineStr">
        <is>
          <t>IOWA CASLS M WE:155278C-L</t>
        </is>
      </c>
      <c r="F1641" s="2">
        <v>800155278060</v>
      </c>
      <c r="G1641" s="0" t="inlineStr">
        <is>
          <t>MENS</t>
        </is>
      </c>
      <c r="H1641" s="0" t="inlineStr">
        <is>
          <t>L</t>
        </is>
      </c>
      <c r="I1641" s="0">
        <v>32.99</v>
      </c>
      <c r="J1641" s="0">
        <v>23</v>
      </c>
    </row>
    <row r="1642" spans="1:10" customHeight="0">
      <c r="A1642" s="0">
        <f>HYPERLINK("https://dl.dropboxusercontent.com/scl/fi/rlnxkraum2nnuyrcvc595/long-sleeve-05.jpg?rlkey=hhd7yeiyhpnigz8rsaepqzsgi&amp;dl=0","Click to download Image")</f>
      </c>
      <c r="B1642" s="0">
        <f>HYPERLINK("https://dl.dropboxusercontent.com/scl/fi/8xybrskr4i3n0x4k4fhih/mens-t-shirt-size-chartscason-slate-ls.jpg?rlkey=riw2im1i72lgtlz4mugt9lmvw&amp;dl=0","Click to download SizeChart")</f>
      </c>
      <c r="C1642" s="0" t="inlineStr">
        <is>
          <t>Long Sleeve Men's T-Shirt</t>
        </is>
      </c>
      <c r="D1642" s="1">
        <v>155278</v>
      </c>
      <c r="E1642" s="0" t="inlineStr">
        <is>
          <t>IOWA CASLS M WE:155278D-XL</t>
        </is>
      </c>
      <c r="F1642" s="2">
        <v>800155278077</v>
      </c>
      <c r="G1642" s="0" t="inlineStr">
        <is>
          <t>MENS</t>
        </is>
      </c>
      <c r="H1642" s="0" t="inlineStr">
        <is>
          <t>XL</t>
        </is>
      </c>
      <c r="I1642" s="0">
        <v>32.99</v>
      </c>
      <c r="J1642" s="0">
        <v>9</v>
      </c>
    </row>
    <row r="1643" spans="1:10" customHeight="0">
      <c r="A1643" s="0">
        <f>HYPERLINK("https://dl.dropboxusercontent.com/scl/fi/rlnxkraum2nnuyrcvc595/long-sleeve-05.jpg?rlkey=hhd7yeiyhpnigz8rsaepqzsgi&amp;dl=0","Click to download Image")</f>
      </c>
      <c r="B1643" s="0">
        <f>HYPERLINK("https://dl.dropboxusercontent.com/scl/fi/8xybrskr4i3n0x4k4fhih/mens-t-shirt-size-chartscason-slate-ls.jpg?rlkey=riw2im1i72lgtlz4mugt9lmvw&amp;dl=0","Click to download SizeChart")</f>
      </c>
      <c r="C1643" s="0" t="inlineStr">
        <is>
          <t>Long Sleeve Men's T-Shirt</t>
        </is>
      </c>
      <c r="D1643" s="1">
        <v>155278</v>
      </c>
      <c r="E1643" s="0" t="inlineStr">
        <is>
          <t>IOWA CASLS M WE:155278E-2XL</t>
        </is>
      </c>
      <c r="F1643" s="2">
        <v>800155278084</v>
      </c>
      <c r="G1643" s="0" t="inlineStr">
        <is>
          <t>MENS</t>
        </is>
      </c>
      <c r="H1643" s="0" t="inlineStr">
        <is>
          <t>2XL</t>
        </is>
      </c>
      <c r="I1643" s="0">
        <v>34.99</v>
      </c>
      <c r="J1643" s="0">
        <v>40</v>
      </c>
    </row>
    <row r="1644" spans="1:10" customHeight="0">
      <c r="A1644" s="0">
        <f>HYPERLINK("https://dl.dropboxusercontent.com/scl/fi/rlnxkraum2nnuyrcvc595/long-sleeve-05.jpg?rlkey=hhd7yeiyhpnigz8rsaepqzsgi&amp;dl=0","Click to download Image")</f>
      </c>
      <c r="B1644" s="0">
        <f>HYPERLINK("https://dl.dropboxusercontent.com/scl/fi/8xybrskr4i3n0x4k4fhih/mens-t-shirt-size-chartscason-slate-ls.jpg?rlkey=riw2im1i72lgtlz4mugt9lmvw&amp;dl=0","Click to download SizeChart")</f>
      </c>
      <c r="C1644" s="0" t="inlineStr">
        <is>
          <t>Long Sleeve Men's T-Shirt</t>
        </is>
      </c>
      <c r="D1644" s="1">
        <v>155278</v>
      </c>
      <c r="E1644" s="0" t="inlineStr">
        <is>
          <t>IOWA CASLS M WE:155278F-3XL</t>
        </is>
      </c>
      <c r="F1644" s="2">
        <v>800155278091</v>
      </c>
      <c r="G1644" s="0" t="inlineStr">
        <is>
          <t>MENS</t>
        </is>
      </c>
      <c r="H1644" s="0" t="inlineStr">
        <is>
          <t>3XL</t>
        </is>
      </c>
      <c r="I1644" s="0">
        <v>34.99</v>
      </c>
      <c r="J1644" s="0">
        <v>42</v>
      </c>
    </row>
    <row r="1645" spans="1:10" customHeight="0">
      <c r="A1645" s="0">
        <f>HYPERLINK("https://dl.dropboxusercontent.com/scl/fi/vibjhrl14jspliwsrab75/long-sleeve-09.jpg?rlkey=ytbl6wf40kbjj1yu1pkgfelp6&amp;dl=0","Click to download Image")</f>
      </c>
      <c r="B1645" s="0">
        <f>HYPERLINK("https://dl.dropboxusercontent.com/scl/fi/8xybrskr4i3n0x4k4fhih/mens-t-shirt-size-chartscason-slate-ls.jpg?rlkey=riw2im1i72lgtlz4mugt9lmvw&amp;dl=0","Click to download SizeChart")</f>
      </c>
      <c r="C1645" s="0" t="inlineStr">
        <is>
          <t>Long Sleeve Men's T-Shirt</t>
        </is>
      </c>
      <c r="D1645" s="1">
        <v>155280</v>
      </c>
      <c r="E1645" s="0" t="inlineStr">
        <is>
          <t>IOWA CASLS M GD:155280A-S</t>
        </is>
      </c>
      <c r="F1645" s="2">
        <v>800155280049</v>
      </c>
      <c r="G1645" s="0" t="inlineStr">
        <is>
          <t>MENS</t>
        </is>
      </c>
      <c r="H1645" s="0" t="inlineStr">
        <is>
          <t>S</t>
        </is>
      </c>
      <c r="I1645" s="0">
        <v>32.99</v>
      </c>
      <c r="J1645" s="0">
        <v>0</v>
      </c>
    </row>
    <row r="1646" spans="1:10" customHeight="0">
      <c r="A1646" s="0">
        <f>HYPERLINK("https://dl.dropboxusercontent.com/scl/fi/vibjhrl14jspliwsrab75/long-sleeve-09.jpg?rlkey=ytbl6wf40kbjj1yu1pkgfelp6&amp;dl=0","Click to download Image")</f>
      </c>
      <c r="B1646" s="0">
        <f>HYPERLINK("https://dl.dropboxusercontent.com/scl/fi/8xybrskr4i3n0x4k4fhih/mens-t-shirt-size-chartscason-slate-ls.jpg?rlkey=riw2im1i72lgtlz4mugt9lmvw&amp;dl=0","Click to download SizeChart")</f>
      </c>
      <c r="C1646" s="0" t="inlineStr">
        <is>
          <t>Long Sleeve Men's T-Shirt</t>
        </is>
      </c>
      <c r="D1646" s="1">
        <v>155280</v>
      </c>
      <c r="E1646" s="0" t="inlineStr">
        <is>
          <t>IOWA CASLS M GD:155280B-M</t>
        </is>
      </c>
      <c r="F1646" s="2">
        <v>800155280056</v>
      </c>
      <c r="G1646" s="0" t="inlineStr">
        <is>
          <t>MENS</t>
        </is>
      </c>
      <c r="H1646" s="0" t="inlineStr">
        <is>
          <t>M</t>
        </is>
      </c>
      <c r="I1646" s="0">
        <v>32.99</v>
      </c>
      <c r="J1646" s="0">
        <v>0</v>
      </c>
    </row>
    <row r="1647" spans="1:10" customHeight="0">
      <c r="A1647" s="0">
        <f>HYPERLINK("https://dl.dropboxusercontent.com/scl/fi/vibjhrl14jspliwsrab75/long-sleeve-09.jpg?rlkey=ytbl6wf40kbjj1yu1pkgfelp6&amp;dl=0","Click to download Image")</f>
      </c>
      <c r="B1647" s="0">
        <f>HYPERLINK("https://dl.dropboxusercontent.com/scl/fi/8xybrskr4i3n0x4k4fhih/mens-t-shirt-size-chartscason-slate-ls.jpg?rlkey=riw2im1i72lgtlz4mugt9lmvw&amp;dl=0","Click to download SizeChart")</f>
      </c>
      <c r="C1647" s="0" t="inlineStr">
        <is>
          <t>Long Sleeve Men's T-Shirt</t>
        </is>
      </c>
      <c r="D1647" s="1">
        <v>155280</v>
      </c>
      <c r="E1647" s="0" t="inlineStr">
        <is>
          <t>IOWA CASLS M GD:155280C-L</t>
        </is>
      </c>
      <c r="F1647" s="2">
        <v>800155280063</v>
      </c>
      <c r="G1647" s="0" t="inlineStr">
        <is>
          <t>MENS</t>
        </is>
      </c>
      <c r="H1647" s="0" t="inlineStr">
        <is>
          <t>L</t>
        </is>
      </c>
      <c r="I1647" s="0">
        <v>32.99</v>
      </c>
      <c r="J1647" s="0">
        <v>0</v>
      </c>
    </row>
    <row r="1648" spans="1:10" customHeight="0">
      <c r="A1648" s="0">
        <f>HYPERLINK("https://dl.dropboxusercontent.com/scl/fi/vibjhrl14jspliwsrab75/long-sleeve-09.jpg?rlkey=ytbl6wf40kbjj1yu1pkgfelp6&amp;dl=0","Click to download Image")</f>
      </c>
      <c r="B1648" s="0">
        <f>HYPERLINK("https://dl.dropboxusercontent.com/scl/fi/8xybrskr4i3n0x4k4fhih/mens-t-shirt-size-chartscason-slate-ls.jpg?rlkey=riw2im1i72lgtlz4mugt9lmvw&amp;dl=0","Click to download SizeChart")</f>
      </c>
      <c r="C1648" s="0" t="inlineStr">
        <is>
          <t>Long Sleeve Men's T-Shirt</t>
        </is>
      </c>
      <c r="D1648" s="1">
        <v>155280</v>
      </c>
      <c r="E1648" s="0" t="inlineStr">
        <is>
          <t>IOWA CASLS M GD:155280D-XL</t>
        </is>
      </c>
      <c r="F1648" s="2">
        <v>800155280070</v>
      </c>
      <c r="G1648" s="0" t="inlineStr">
        <is>
          <t>MENS</t>
        </is>
      </c>
      <c r="H1648" s="0" t="inlineStr">
        <is>
          <t>XL</t>
        </is>
      </c>
      <c r="I1648" s="0">
        <v>32.99</v>
      </c>
      <c r="J1648" s="0">
        <v>0</v>
      </c>
    </row>
    <row r="1649" spans="1:10" customHeight="0">
      <c r="A1649" s="0">
        <f>HYPERLINK("https://dl.dropboxusercontent.com/scl/fi/vibjhrl14jspliwsrab75/long-sleeve-09.jpg?rlkey=ytbl6wf40kbjj1yu1pkgfelp6&amp;dl=0","Click to download Image")</f>
      </c>
      <c r="B1649" s="0">
        <f>HYPERLINK("https://dl.dropboxusercontent.com/scl/fi/8xybrskr4i3n0x4k4fhih/mens-t-shirt-size-chartscason-slate-ls.jpg?rlkey=riw2im1i72lgtlz4mugt9lmvw&amp;dl=0","Click to download SizeChart")</f>
      </c>
      <c r="C1649" s="0" t="inlineStr">
        <is>
          <t>Long Sleeve Men's T-Shirt</t>
        </is>
      </c>
      <c r="D1649" s="1">
        <v>155280</v>
      </c>
      <c r="E1649" s="0" t="inlineStr">
        <is>
          <t>IOWA CASLS M GD:155280E-2XL</t>
        </is>
      </c>
      <c r="F1649" s="2">
        <v>800155280087</v>
      </c>
      <c r="G1649" s="0" t="inlineStr">
        <is>
          <t>MENS</t>
        </is>
      </c>
      <c r="H1649" s="0" t="inlineStr">
        <is>
          <t>2XL</t>
        </is>
      </c>
      <c r="I1649" s="0">
        <v>34.99</v>
      </c>
      <c r="J1649" s="0">
        <v>0</v>
      </c>
    </row>
    <row r="1650" spans="1:10" customHeight="0">
      <c r="A1650" s="0">
        <f>HYPERLINK("https://dl.dropboxusercontent.com/scl/fi/vibjhrl14jspliwsrab75/long-sleeve-09.jpg?rlkey=ytbl6wf40kbjj1yu1pkgfelp6&amp;dl=0","Click to download Image")</f>
      </c>
      <c r="B1650" s="0">
        <f>HYPERLINK("https://dl.dropboxusercontent.com/scl/fi/8xybrskr4i3n0x4k4fhih/mens-t-shirt-size-chartscason-slate-ls.jpg?rlkey=riw2im1i72lgtlz4mugt9lmvw&amp;dl=0","Click to download SizeChart")</f>
      </c>
      <c r="C1650" s="0" t="inlineStr">
        <is>
          <t>Long Sleeve Men's T-Shirt</t>
        </is>
      </c>
      <c r="D1650" s="1">
        <v>155280</v>
      </c>
      <c r="E1650" s="0" t="inlineStr">
        <is>
          <t>IOWA CASLS M GD:155280F-3XL</t>
        </is>
      </c>
      <c r="F1650" s="2">
        <v>800155280094</v>
      </c>
      <c r="G1650" s="0" t="inlineStr">
        <is>
          <t>MENS</t>
        </is>
      </c>
      <c r="H1650" s="0" t="inlineStr">
        <is>
          <t>3XL</t>
        </is>
      </c>
      <c r="I1650" s="0">
        <v>34.99</v>
      </c>
      <c r="J1650" s="0">
        <v>1</v>
      </c>
    </row>
    <row r="1651" spans="1:10" customHeight="0">
      <c r="A1651" s="0">
        <f>HYPERLINK("https://dl.dropboxusercontent.com/scl/fi/vng14kwn8qmu70pfq6qg3/long-sleeve-10.jpg?rlkey=yqoawgujunno20zhydmcbd6ab&amp;dl=0","Click to download Image")</f>
      </c>
      <c r="B1651" s="0">
        <f>HYPERLINK("https://dl.dropboxusercontent.com/scl/fi/8xybrskr4i3n0x4k4fhih/mens-t-shirt-size-chartscason-slate-ls.jpg?rlkey=riw2im1i72lgtlz4mugt9lmvw&amp;dl=0","Click to download SizeChart")</f>
      </c>
      <c r="C1651" s="0" t="inlineStr">
        <is>
          <t>Long Sleeve Men's T-Shirt</t>
        </is>
      </c>
      <c r="D1651" s="1">
        <v>155281</v>
      </c>
      <c r="E1651" s="0" t="inlineStr">
        <is>
          <t>IOWA CASLS M GD:155281A-S</t>
        </is>
      </c>
      <c r="F1651" s="2">
        <v>800155281046</v>
      </c>
      <c r="G1651" s="0" t="inlineStr">
        <is>
          <t>MENS</t>
        </is>
      </c>
      <c r="H1651" s="0" t="inlineStr">
        <is>
          <t>S</t>
        </is>
      </c>
      <c r="I1651" s="0">
        <v>32.99</v>
      </c>
      <c r="J1651" s="0">
        <v>0</v>
      </c>
    </row>
    <row r="1652" spans="1:10" customHeight="0">
      <c r="A1652" s="0">
        <f>HYPERLINK("https://dl.dropboxusercontent.com/scl/fi/vng14kwn8qmu70pfq6qg3/long-sleeve-10.jpg?rlkey=yqoawgujunno20zhydmcbd6ab&amp;dl=0","Click to download Image")</f>
      </c>
      <c r="B1652" s="0">
        <f>HYPERLINK("https://dl.dropboxusercontent.com/scl/fi/8xybrskr4i3n0x4k4fhih/mens-t-shirt-size-chartscason-slate-ls.jpg?rlkey=riw2im1i72lgtlz4mugt9lmvw&amp;dl=0","Click to download SizeChart")</f>
      </c>
      <c r="C1652" s="0" t="inlineStr">
        <is>
          <t>Long Sleeve Men's T-Shirt</t>
        </is>
      </c>
      <c r="D1652" s="1">
        <v>155281</v>
      </c>
      <c r="E1652" s="0" t="inlineStr">
        <is>
          <t>IOWA CASLS M GD:155281B-M</t>
        </is>
      </c>
      <c r="F1652" s="2">
        <v>800155281053</v>
      </c>
      <c r="G1652" s="0" t="inlineStr">
        <is>
          <t>MENS</t>
        </is>
      </c>
      <c r="H1652" s="0" t="inlineStr">
        <is>
          <t>M</t>
        </is>
      </c>
      <c r="I1652" s="0">
        <v>32.99</v>
      </c>
      <c r="J1652" s="0">
        <v>0</v>
      </c>
    </row>
    <row r="1653" spans="1:10" customHeight="0">
      <c r="A1653" s="0">
        <f>HYPERLINK("https://dl.dropboxusercontent.com/scl/fi/vng14kwn8qmu70pfq6qg3/long-sleeve-10.jpg?rlkey=yqoawgujunno20zhydmcbd6ab&amp;dl=0","Click to download Image")</f>
      </c>
      <c r="B1653" s="0">
        <f>HYPERLINK("https://dl.dropboxusercontent.com/scl/fi/8xybrskr4i3n0x4k4fhih/mens-t-shirt-size-chartscason-slate-ls.jpg?rlkey=riw2im1i72lgtlz4mugt9lmvw&amp;dl=0","Click to download SizeChart")</f>
      </c>
      <c r="C1653" s="0" t="inlineStr">
        <is>
          <t>Long Sleeve Men's T-Shirt</t>
        </is>
      </c>
      <c r="D1653" s="1">
        <v>155281</v>
      </c>
      <c r="E1653" s="0" t="inlineStr">
        <is>
          <t>IOWA CASLS M GD:155281C-L</t>
        </is>
      </c>
      <c r="F1653" s="2">
        <v>800155281060</v>
      </c>
      <c r="G1653" s="0" t="inlineStr">
        <is>
          <t>MENS</t>
        </is>
      </c>
      <c r="H1653" s="0" t="inlineStr">
        <is>
          <t>L</t>
        </is>
      </c>
      <c r="I1653" s="0">
        <v>32.99</v>
      </c>
      <c r="J1653" s="0">
        <v>0</v>
      </c>
    </row>
    <row r="1654" spans="1:10" customHeight="0">
      <c r="A1654" s="0">
        <f>HYPERLINK("https://dl.dropboxusercontent.com/scl/fi/vng14kwn8qmu70pfq6qg3/long-sleeve-10.jpg?rlkey=yqoawgujunno20zhydmcbd6ab&amp;dl=0","Click to download Image")</f>
      </c>
      <c r="B1654" s="0">
        <f>HYPERLINK("https://dl.dropboxusercontent.com/scl/fi/8xybrskr4i3n0x4k4fhih/mens-t-shirt-size-chartscason-slate-ls.jpg?rlkey=riw2im1i72lgtlz4mugt9lmvw&amp;dl=0","Click to download SizeChart")</f>
      </c>
      <c r="C1654" s="0" t="inlineStr">
        <is>
          <t>Long Sleeve Men's T-Shirt</t>
        </is>
      </c>
      <c r="D1654" s="1">
        <v>155281</v>
      </c>
      <c r="E1654" s="0" t="inlineStr">
        <is>
          <t>IOWA CASLS M GD:155281D-XL</t>
        </is>
      </c>
      <c r="F1654" s="2">
        <v>800155281077</v>
      </c>
      <c r="G1654" s="0" t="inlineStr">
        <is>
          <t>MENS</t>
        </is>
      </c>
      <c r="H1654" s="0" t="inlineStr">
        <is>
          <t>XL</t>
        </is>
      </c>
      <c r="I1654" s="0">
        <v>32.99</v>
      </c>
      <c r="J1654" s="0">
        <v>0</v>
      </c>
    </row>
    <row r="1655" spans="1:10" customHeight="0">
      <c r="A1655" s="0">
        <f>HYPERLINK("https://dl.dropboxusercontent.com/scl/fi/vng14kwn8qmu70pfq6qg3/long-sleeve-10.jpg?rlkey=yqoawgujunno20zhydmcbd6ab&amp;dl=0","Click to download Image")</f>
      </c>
      <c r="B1655" s="0">
        <f>HYPERLINK("https://dl.dropboxusercontent.com/scl/fi/8xybrskr4i3n0x4k4fhih/mens-t-shirt-size-chartscason-slate-ls.jpg?rlkey=riw2im1i72lgtlz4mugt9lmvw&amp;dl=0","Click to download SizeChart")</f>
      </c>
      <c r="C1655" s="0" t="inlineStr">
        <is>
          <t>Long Sleeve Men's T-Shirt</t>
        </is>
      </c>
      <c r="D1655" s="1">
        <v>155281</v>
      </c>
      <c r="E1655" s="0" t="inlineStr">
        <is>
          <t>IOWA CASLS M GD:155281E-2XL</t>
        </is>
      </c>
      <c r="F1655" s="2">
        <v>800155281084</v>
      </c>
      <c r="G1655" s="0" t="inlineStr">
        <is>
          <t>MENS</t>
        </is>
      </c>
      <c r="H1655" s="0" t="inlineStr">
        <is>
          <t>2XL</t>
        </is>
      </c>
      <c r="I1655" s="0">
        <v>34.99</v>
      </c>
      <c r="J1655" s="0">
        <v>0</v>
      </c>
    </row>
    <row r="1656" spans="1:10" customHeight="0">
      <c r="A1656" s="0">
        <f>HYPERLINK("https://dl.dropboxusercontent.com/scl/fi/vng14kwn8qmu70pfq6qg3/long-sleeve-10.jpg?rlkey=yqoawgujunno20zhydmcbd6ab&amp;dl=0","Click to download Image")</f>
      </c>
      <c r="B1656" s="0">
        <f>HYPERLINK("https://dl.dropboxusercontent.com/scl/fi/8xybrskr4i3n0x4k4fhih/mens-t-shirt-size-chartscason-slate-ls.jpg?rlkey=riw2im1i72lgtlz4mugt9lmvw&amp;dl=0","Click to download SizeChart")</f>
      </c>
      <c r="C1656" s="0" t="inlineStr">
        <is>
          <t>Long Sleeve Men's T-Shirt</t>
        </is>
      </c>
      <c r="D1656" s="1">
        <v>155281</v>
      </c>
      <c r="E1656" s="0" t="inlineStr">
        <is>
          <t>IOWA CASLS M GD:155281F-3XL</t>
        </is>
      </c>
      <c r="F1656" s="2">
        <v>800155281091</v>
      </c>
      <c r="G1656" s="0" t="inlineStr">
        <is>
          <t>MENS</t>
        </is>
      </c>
      <c r="H1656" s="0" t="inlineStr">
        <is>
          <t>3XL</t>
        </is>
      </c>
      <c r="I1656" s="0">
        <v>34.99</v>
      </c>
      <c r="J1656" s="0">
        <v>1</v>
      </c>
    </row>
    <row r="1657" spans="1:10" customHeight="0">
      <c r="A1657" s="0">
        <f>HYPERLINK("https://dl.dropboxusercontent.com/scl/fi/mi68d47c0unxpvzczxfv8/long-sleeve-17.jpg?rlkey=jhqrb0ju4jw9shwux2yl06914&amp;dl=0","Click to download Image")</f>
      </c>
      <c r="B1657" s="0">
        <f>HYPERLINK("https://dl.dropboxusercontent.com/scl/fi/8xybrskr4i3n0x4k4fhih/mens-t-shirt-size-chartscason-slate-ls.jpg?rlkey=riw2im1i72lgtlz4mugt9lmvw&amp;dl=0","Click to download SizeChart")</f>
      </c>
      <c r="C1657" s="0" t="inlineStr">
        <is>
          <t>Long Sleeve Men's T-Shirt</t>
        </is>
      </c>
      <c r="D1657" s="1">
        <v>155282</v>
      </c>
      <c r="E1657" s="0" t="inlineStr">
        <is>
          <t>IOWA SLATE M BK:155282A-S</t>
        </is>
      </c>
      <c r="F1657" s="2">
        <v>800155282043</v>
      </c>
      <c r="G1657" s="0" t="inlineStr">
        <is>
          <t>MENS</t>
        </is>
      </c>
      <c r="H1657" s="0" t="inlineStr">
        <is>
          <t>S</t>
        </is>
      </c>
      <c r="I1657" s="0">
        <v>32.99</v>
      </c>
      <c r="J1657" s="0">
        <v>88</v>
      </c>
    </row>
    <row r="1658" spans="1:10" customHeight="0">
      <c r="A1658" s="0">
        <f>HYPERLINK("https://dl.dropboxusercontent.com/scl/fi/mi68d47c0unxpvzczxfv8/long-sleeve-17.jpg?rlkey=jhqrb0ju4jw9shwux2yl06914&amp;dl=0","Click to download Image")</f>
      </c>
      <c r="B1658" s="0">
        <f>HYPERLINK("https://dl.dropboxusercontent.com/scl/fi/8xybrskr4i3n0x4k4fhih/mens-t-shirt-size-chartscason-slate-ls.jpg?rlkey=riw2im1i72lgtlz4mugt9lmvw&amp;dl=0","Click to download SizeChart")</f>
      </c>
      <c r="C1658" s="0" t="inlineStr">
        <is>
          <t>Long Sleeve Men's T-Shirt</t>
        </is>
      </c>
      <c r="D1658" s="1">
        <v>155282</v>
      </c>
      <c r="E1658" s="0" t="inlineStr">
        <is>
          <t>IOWA SLATE M BK:155282B-M</t>
        </is>
      </c>
      <c r="F1658" s="2">
        <v>800155282050</v>
      </c>
      <c r="G1658" s="0" t="inlineStr">
        <is>
          <t>MENS</t>
        </is>
      </c>
      <c r="H1658" s="0" t="inlineStr">
        <is>
          <t>M</t>
        </is>
      </c>
      <c r="I1658" s="0">
        <v>32.99</v>
      </c>
      <c r="J1658" s="0">
        <v>181</v>
      </c>
    </row>
    <row r="1659" spans="1:10" customHeight="0">
      <c r="A1659" s="0">
        <f>HYPERLINK("https://dl.dropboxusercontent.com/scl/fi/mi68d47c0unxpvzczxfv8/long-sleeve-17.jpg?rlkey=jhqrb0ju4jw9shwux2yl06914&amp;dl=0","Click to download Image")</f>
      </c>
      <c r="B1659" s="0">
        <f>HYPERLINK("https://dl.dropboxusercontent.com/scl/fi/8xybrskr4i3n0x4k4fhih/mens-t-shirt-size-chartscason-slate-ls.jpg?rlkey=riw2im1i72lgtlz4mugt9lmvw&amp;dl=0","Click to download SizeChart")</f>
      </c>
      <c r="C1659" s="0" t="inlineStr">
        <is>
          <t>Long Sleeve Men's T-Shirt</t>
        </is>
      </c>
      <c r="D1659" s="1">
        <v>155282</v>
      </c>
      <c r="E1659" s="0" t="inlineStr">
        <is>
          <t>IOWA SLATE M BK:155282C-L</t>
        </is>
      </c>
      <c r="F1659" s="2">
        <v>800155282067</v>
      </c>
      <c r="G1659" s="0" t="inlineStr">
        <is>
          <t>MENS</t>
        </is>
      </c>
      <c r="H1659" s="0" t="inlineStr">
        <is>
          <t>L</t>
        </is>
      </c>
      <c r="I1659" s="0">
        <v>32.99</v>
      </c>
      <c r="J1659" s="0">
        <v>196</v>
      </c>
    </row>
    <row r="1660" spans="1:10" customHeight="0">
      <c r="A1660" s="0">
        <f>HYPERLINK("https://dl.dropboxusercontent.com/scl/fi/mi68d47c0unxpvzczxfv8/long-sleeve-17.jpg?rlkey=jhqrb0ju4jw9shwux2yl06914&amp;dl=0","Click to download Image")</f>
      </c>
      <c r="B1660" s="0">
        <f>HYPERLINK("https://dl.dropboxusercontent.com/scl/fi/8xybrskr4i3n0x4k4fhih/mens-t-shirt-size-chartscason-slate-ls.jpg?rlkey=riw2im1i72lgtlz4mugt9lmvw&amp;dl=0","Click to download SizeChart")</f>
      </c>
      <c r="C1660" s="0" t="inlineStr">
        <is>
          <t>Long Sleeve Men's T-Shirt</t>
        </is>
      </c>
      <c r="D1660" s="1">
        <v>155282</v>
      </c>
      <c r="E1660" s="0" t="inlineStr">
        <is>
          <t>IOWA SLATE M BK:155282D-XL</t>
        </is>
      </c>
      <c r="F1660" s="2">
        <v>800155282074</v>
      </c>
      <c r="G1660" s="0" t="inlineStr">
        <is>
          <t>MENS</t>
        </is>
      </c>
      <c r="H1660" s="0" t="inlineStr">
        <is>
          <t>XL</t>
        </is>
      </c>
      <c r="I1660" s="0">
        <v>32.99</v>
      </c>
      <c r="J1660" s="0">
        <v>196</v>
      </c>
    </row>
    <row r="1661" spans="1:10" customHeight="0">
      <c r="A1661" s="0">
        <f>HYPERLINK("https://dl.dropboxusercontent.com/scl/fi/mi68d47c0unxpvzczxfv8/long-sleeve-17.jpg?rlkey=jhqrb0ju4jw9shwux2yl06914&amp;dl=0","Click to download Image")</f>
      </c>
      <c r="B1661" s="0">
        <f>HYPERLINK("https://dl.dropboxusercontent.com/scl/fi/8xybrskr4i3n0x4k4fhih/mens-t-shirt-size-chartscason-slate-ls.jpg?rlkey=riw2im1i72lgtlz4mugt9lmvw&amp;dl=0","Click to download SizeChart")</f>
      </c>
      <c r="C1661" s="0" t="inlineStr">
        <is>
          <t>Long Sleeve Men's T-Shirt</t>
        </is>
      </c>
      <c r="D1661" s="1">
        <v>155282</v>
      </c>
      <c r="E1661" s="0" t="inlineStr">
        <is>
          <t>IOWA SLATE M BK:155282E-2XL</t>
        </is>
      </c>
      <c r="F1661" s="2">
        <v>800155282081</v>
      </c>
      <c r="G1661" s="0" t="inlineStr">
        <is>
          <t>MENS</t>
        </is>
      </c>
      <c r="H1661" s="0" t="inlineStr">
        <is>
          <t>2XL</t>
        </is>
      </c>
      <c r="I1661" s="0">
        <v>34.99</v>
      </c>
      <c r="J1661" s="0">
        <v>196</v>
      </c>
    </row>
    <row r="1662" spans="1:10" customHeight="0">
      <c r="A1662" s="0">
        <f>HYPERLINK("https://dl.dropboxusercontent.com/scl/fi/mi68d47c0unxpvzczxfv8/long-sleeve-17.jpg?rlkey=jhqrb0ju4jw9shwux2yl06914&amp;dl=0","Click to download Image")</f>
      </c>
      <c r="B1662" s="0">
        <f>HYPERLINK("https://dl.dropboxusercontent.com/scl/fi/8xybrskr4i3n0x4k4fhih/mens-t-shirt-size-chartscason-slate-ls.jpg?rlkey=riw2im1i72lgtlz4mugt9lmvw&amp;dl=0","Click to download SizeChart")</f>
      </c>
      <c r="C1662" s="0" t="inlineStr">
        <is>
          <t>Long Sleeve Men's T-Shirt</t>
        </is>
      </c>
      <c r="D1662" s="1">
        <v>155282</v>
      </c>
      <c r="E1662" s="0" t="inlineStr">
        <is>
          <t>IOWA SLATE M BK:155282F-3XL</t>
        </is>
      </c>
      <c r="F1662" s="2">
        <v>800155282098</v>
      </c>
      <c r="G1662" s="0" t="inlineStr">
        <is>
          <t>MENS</t>
        </is>
      </c>
      <c r="H1662" s="0" t="inlineStr">
        <is>
          <t>3XL</t>
        </is>
      </c>
      <c r="I1662" s="0">
        <v>34.99</v>
      </c>
      <c r="J1662" s="0">
        <v>101</v>
      </c>
    </row>
    <row r="1663" spans="1:10" customHeight="0">
      <c r="A1663" s="0">
        <f>HYPERLINK("https://dl.dropboxusercontent.com/scl/fi/2prcz0jlxkn11vh9hx6i7/mock-162327-iowa-slatel-m-gd-v1-02.jpg?rlkey=hpk7n2wrsj54cw43sdi27vzpx&amp;dl=0","Click to download Image")</f>
      </c>
      <c r="B1663" s="0">
        <f>HYPERLINK("https://dl.dropboxusercontent.com/scl/fi/8xybrskr4i3n0x4k4fhih/mens-t-shirt-size-chartscason-slate-ls.jpg?rlkey=riw2im1i72lgtlz4mugt9lmvw&amp;dl=0","Click to download SizeChart")</f>
      </c>
      <c r="C1663" s="0" t="inlineStr">
        <is>
          <t>Long Sleeve Men's T-Shirt</t>
        </is>
      </c>
      <c r="D1663" s="1">
        <v>162327</v>
      </c>
      <c r="E1663" s="0" t="inlineStr">
        <is>
          <t>IOWA SLATEL M GD:162327A-S</t>
        </is>
      </c>
      <c r="F1663" s="2">
        <v>800162327041</v>
      </c>
      <c r="G1663" s="0" t="inlineStr">
        <is>
          <t>MENS</t>
        </is>
      </c>
      <c r="H1663" s="0" t="inlineStr">
        <is>
          <t>S</t>
        </is>
      </c>
      <c r="I1663" s="0">
        <v>32.99</v>
      </c>
      <c r="J1663" s="0">
        <v>38</v>
      </c>
    </row>
    <row r="1664" spans="1:10" customHeight="0">
      <c r="A1664" s="0">
        <f>HYPERLINK("https://dl.dropboxusercontent.com/scl/fi/2prcz0jlxkn11vh9hx6i7/mock-162327-iowa-slatel-m-gd-v1-02.jpg?rlkey=hpk7n2wrsj54cw43sdi27vzpx&amp;dl=0","Click to download Image")</f>
      </c>
      <c r="B1664" s="0">
        <f>HYPERLINK("https://dl.dropboxusercontent.com/scl/fi/8xybrskr4i3n0x4k4fhih/mens-t-shirt-size-chartscason-slate-ls.jpg?rlkey=riw2im1i72lgtlz4mugt9lmvw&amp;dl=0","Click to download SizeChart")</f>
      </c>
      <c r="C1664" s="0" t="inlineStr">
        <is>
          <t>Long Sleeve Men's T-Shirt</t>
        </is>
      </c>
      <c r="D1664" s="1">
        <v>162327</v>
      </c>
      <c r="E1664" s="0" t="inlineStr">
        <is>
          <t>IOWA SLATEL M GD:162327B-M</t>
        </is>
      </c>
      <c r="F1664" s="2">
        <v>800162327058</v>
      </c>
      <c r="G1664" s="0" t="inlineStr">
        <is>
          <t>MENS</t>
        </is>
      </c>
      <c r="H1664" s="0" t="inlineStr">
        <is>
          <t>M</t>
        </is>
      </c>
      <c r="I1664" s="0">
        <v>32.99</v>
      </c>
      <c r="J1664" s="0">
        <v>38</v>
      </c>
    </row>
    <row r="1665" spans="1:10" customHeight="0">
      <c r="A1665" s="0">
        <f>HYPERLINK("https://dl.dropboxusercontent.com/scl/fi/2prcz0jlxkn11vh9hx6i7/mock-162327-iowa-slatel-m-gd-v1-02.jpg?rlkey=hpk7n2wrsj54cw43sdi27vzpx&amp;dl=0","Click to download Image")</f>
      </c>
      <c r="B1665" s="0">
        <f>HYPERLINK("https://dl.dropboxusercontent.com/scl/fi/8xybrskr4i3n0x4k4fhih/mens-t-shirt-size-chartscason-slate-ls.jpg?rlkey=riw2im1i72lgtlz4mugt9lmvw&amp;dl=0","Click to download SizeChart")</f>
      </c>
      <c r="C1665" s="0" t="inlineStr">
        <is>
          <t>Long Sleeve Men's T-Shirt</t>
        </is>
      </c>
      <c r="D1665" s="1">
        <v>162327</v>
      </c>
      <c r="E1665" s="0" t="inlineStr">
        <is>
          <t>IOWA SLATEL M GD:162327C-L</t>
        </is>
      </c>
      <c r="F1665" s="2">
        <v>800162327065</v>
      </c>
      <c r="G1665" s="0" t="inlineStr">
        <is>
          <t>MENS</t>
        </is>
      </c>
      <c r="H1665" s="0" t="inlineStr">
        <is>
          <t>L</t>
        </is>
      </c>
      <c r="I1665" s="0">
        <v>32.99</v>
      </c>
      <c r="J1665" s="0">
        <v>38</v>
      </c>
    </row>
    <row r="1666" spans="1:10" customHeight="0">
      <c r="A1666" s="0">
        <f>HYPERLINK("https://dl.dropboxusercontent.com/scl/fi/2prcz0jlxkn11vh9hx6i7/mock-162327-iowa-slatel-m-gd-v1-02.jpg?rlkey=hpk7n2wrsj54cw43sdi27vzpx&amp;dl=0","Click to download Image")</f>
      </c>
      <c r="B1666" s="0">
        <f>HYPERLINK("https://dl.dropboxusercontent.com/scl/fi/8xybrskr4i3n0x4k4fhih/mens-t-shirt-size-chartscason-slate-ls.jpg?rlkey=riw2im1i72lgtlz4mugt9lmvw&amp;dl=0","Click to download SizeChart")</f>
      </c>
      <c r="C1666" s="0" t="inlineStr">
        <is>
          <t>Long Sleeve Men's T-Shirt</t>
        </is>
      </c>
      <c r="D1666" s="1">
        <v>162327</v>
      </c>
      <c r="E1666" s="0" t="inlineStr">
        <is>
          <t>IOWA SLATEL M GD:162327D-XL</t>
        </is>
      </c>
      <c r="F1666" s="2">
        <v>800162327072</v>
      </c>
      <c r="G1666" s="0" t="inlineStr">
        <is>
          <t>MENS</t>
        </is>
      </c>
      <c r="H1666" s="0" t="inlineStr">
        <is>
          <t>XL</t>
        </is>
      </c>
      <c r="I1666" s="0">
        <v>32.99</v>
      </c>
      <c r="J1666" s="0">
        <v>38</v>
      </c>
    </row>
    <row r="1667" spans="1:10" customHeight="0">
      <c r="A1667" s="0">
        <f>HYPERLINK("https://dl.dropboxusercontent.com/scl/fi/2prcz0jlxkn11vh9hx6i7/mock-162327-iowa-slatel-m-gd-v1-02.jpg?rlkey=hpk7n2wrsj54cw43sdi27vzpx&amp;dl=0","Click to download Image")</f>
      </c>
      <c r="B1667" s="0">
        <f>HYPERLINK("https://dl.dropboxusercontent.com/scl/fi/8xybrskr4i3n0x4k4fhih/mens-t-shirt-size-chartscason-slate-ls.jpg?rlkey=riw2im1i72lgtlz4mugt9lmvw&amp;dl=0","Click to download SizeChart")</f>
      </c>
      <c r="C1667" s="0" t="inlineStr">
        <is>
          <t>Long Sleeve Men's T-Shirt</t>
        </is>
      </c>
      <c r="D1667" s="1">
        <v>162327</v>
      </c>
      <c r="E1667" s="0" t="inlineStr">
        <is>
          <t>IOWA SLATEL M GD:162327E-2XL</t>
        </is>
      </c>
      <c r="F1667" s="2">
        <v>800162327089</v>
      </c>
      <c r="G1667" s="0" t="inlineStr">
        <is>
          <t>MENS</t>
        </is>
      </c>
      <c r="H1667" s="0" t="inlineStr">
        <is>
          <t>2XL</t>
        </is>
      </c>
      <c r="I1667" s="0">
        <v>34.99</v>
      </c>
      <c r="J1667" s="0">
        <v>38</v>
      </c>
    </row>
    <row r="1668" spans="1:10" customHeight="0">
      <c r="A1668" s="0">
        <f>HYPERLINK("https://dl.dropboxusercontent.com/scl/fi/2prcz0jlxkn11vh9hx6i7/mock-162327-iowa-slatel-m-gd-v1-02.jpg?rlkey=hpk7n2wrsj54cw43sdi27vzpx&amp;dl=0","Click to download Image")</f>
      </c>
      <c r="B1668" s="0">
        <f>HYPERLINK("https://dl.dropboxusercontent.com/scl/fi/8xybrskr4i3n0x4k4fhih/mens-t-shirt-size-chartscason-slate-ls.jpg?rlkey=riw2im1i72lgtlz4mugt9lmvw&amp;dl=0","Click to download SizeChart")</f>
      </c>
      <c r="C1668" s="0" t="inlineStr">
        <is>
          <t>Long Sleeve Men's T-Shirt</t>
        </is>
      </c>
      <c r="D1668" s="1">
        <v>162327</v>
      </c>
      <c r="E1668" s="0" t="inlineStr">
        <is>
          <t>IOWA SLATEL M GD:162327F-3XL</t>
        </is>
      </c>
      <c r="F1668" s="2">
        <v>800162327096</v>
      </c>
      <c r="G1668" s="0" t="inlineStr">
        <is>
          <t>MENS</t>
        </is>
      </c>
      <c r="H1668" s="0" t="inlineStr">
        <is>
          <t>3XL</t>
        </is>
      </c>
      <c r="I1668" s="0">
        <v>34.99</v>
      </c>
      <c r="J1668" s="0">
        <v>38</v>
      </c>
    </row>
    <row r="1669" spans="1:10" customHeight="0">
      <c r="A1669" s="0">
        <f>HYPERLINK("https://dl.dropboxusercontent.com/scl/fi/wk4o9ynbysrbvep9zphzt/104216af51340.jpg?rlkey=4umb7vouuwe28l1oklzh2moca&amp;dl=0","Click to download Image")</f>
      </c>
      <c r="C1669" s="0" t="inlineStr">
        <is>
          <t>Lanie Women's Ponytail Cap</t>
        </is>
      </c>
      <c r="D1669" s="1">
        <v>104216</v>
      </c>
      <c r="E1669" s="0" t="inlineStr">
        <is>
          <t>LANIE:104216</t>
        </is>
      </c>
      <c r="F1669" s="2">
        <v>700104216016</v>
      </c>
      <c r="G1669" s="0" t="inlineStr">
        <is>
          <t>WOMENS</t>
        </is>
      </c>
      <c r="H1669" s="0" t="inlineStr">
        <is>
          <t>WOMENS</t>
        </is>
      </c>
      <c r="I1669" s="0">
        <v>24.99</v>
      </c>
      <c r="J1669" s="0">
        <v>7</v>
      </c>
    </row>
    <row r="1670" spans="1:10" customHeight="0">
      <c r="A1670" s="0">
        <f>HYPERLINK("https://dl.dropboxusercontent.com/scl/fi/lqtrr4zzcs38aguebgobw/96428f48778.jpg?rlkey=c0nkkvphoglfgyblfb5grnglg&amp;dl=0","Click to download Image")</f>
      </c>
      <c r="B1670" s="0">
        <f>HYPERLINK("https://dl.dropboxusercontent.com/scl/fi/vjv1lrwgp0ytsuevipmq6/mens-d.jpg?rlkey=xq8txuoic3bgbwter1ryh2zlw&amp;dl=0","Click to download SizeChart")</f>
      </c>
      <c r="C1670" s="0" t="inlineStr">
        <is>
          <t>Logan Men's Windbreaker</t>
        </is>
      </c>
      <c r="D1670" s="1">
        <v>96428</v>
      </c>
      <c r="E1670" s="0" t="inlineStr">
        <is>
          <t>LOGAN:96428A-S</t>
        </is>
      </c>
      <c r="G1670" s="0" t="inlineStr">
        <is>
          <t>MENS</t>
        </is>
      </c>
      <c r="H1670" s="0" t="inlineStr">
        <is>
          <t>S</t>
        </is>
      </c>
      <c r="I1670" s="0">
        <v>54.99</v>
      </c>
      <c r="J1670" s="0">
        <v>7</v>
      </c>
    </row>
    <row r="1671" spans="1:10" customHeight="0">
      <c r="A1671" s="0">
        <f>HYPERLINK("https://dl.dropboxusercontent.com/scl/fi/lqtrr4zzcs38aguebgobw/96428f48778.jpg?rlkey=c0nkkvphoglfgyblfb5grnglg&amp;dl=0","Click to download Image")</f>
      </c>
      <c r="B1671" s="0">
        <f>HYPERLINK("https://dl.dropboxusercontent.com/scl/fi/vjv1lrwgp0ytsuevipmq6/mens-d.jpg?rlkey=xq8txuoic3bgbwter1ryh2zlw&amp;dl=0","Click to download SizeChart")</f>
      </c>
      <c r="C1671" s="0" t="inlineStr">
        <is>
          <t>Logan Men's Windbreaker</t>
        </is>
      </c>
      <c r="D1671" s="1">
        <v>96428</v>
      </c>
      <c r="E1671" s="0" t="inlineStr">
        <is>
          <t>LOGAN:96428B-M</t>
        </is>
      </c>
      <c r="G1671" s="0" t="inlineStr">
        <is>
          <t>MENS</t>
        </is>
      </c>
      <c r="H1671" s="0" t="inlineStr">
        <is>
          <t>M</t>
        </is>
      </c>
      <c r="I1671" s="0">
        <v>54.99</v>
      </c>
      <c r="J1671" s="0">
        <v>24</v>
      </c>
    </row>
    <row r="1672" spans="1:10" customHeight="0">
      <c r="A1672" s="0">
        <f>HYPERLINK("https://dl.dropboxusercontent.com/scl/fi/lqtrr4zzcs38aguebgobw/96428f48778.jpg?rlkey=c0nkkvphoglfgyblfb5grnglg&amp;dl=0","Click to download Image")</f>
      </c>
      <c r="B1672" s="0">
        <f>HYPERLINK("https://dl.dropboxusercontent.com/scl/fi/vjv1lrwgp0ytsuevipmq6/mens-d.jpg?rlkey=xq8txuoic3bgbwter1ryh2zlw&amp;dl=0","Click to download SizeChart")</f>
      </c>
      <c r="C1672" s="0" t="inlineStr">
        <is>
          <t>Logan Men's Windbreaker</t>
        </is>
      </c>
      <c r="D1672" s="1">
        <v>96428</v>
      </c>
      <c r="E1672" s="0" t="inlineStr">
        <is>
          <t>LOGAN:96428C-L</t>
        </is>
      </c>
      <c r="G1672" s="0" t="inlineStr">
        <is>
          <t>MENS</t>
        </is>
      </c>
      <c r="H1672" s="0" t="inlineStr">
        <is>
          <t>L</t>
        </is>
      </c>
      <c r="I1672" s="0">
        <v>54.99</v>
      </c>
      <c r="J1672" s="0">
        <v>39</v>
      </c>
    </row>
    <row r="1673" spans="1:10" customHeight="0">
      <c r="A1673" s="0">
        <f>HYPERLINK("https://dl.dropboxusercontent.com/scl/fi/lqtrr4zzcs38aguebgobw/96428f48778.jpg?rlkey=c0nkkvphoglfgyblfb5grnglg&amp;dl=0","Click to download Image")</f>
      </c>
      <c r="B1673" s="0">
        <f>HYPERLINK("https://dl.dropboxusercontent.com/scl/fi/vjv1lrwgp0ytsuevipmq6/mens-d.jpg?rlkey=xq8txuoic3bgbwter1ryh2zlw&amp;dl=0","Click to download SizeChart")</f>
      </c>
      <c r="C1673" s="0" t="inlineStr">
        <is>
          <t>Logan Men's Windbreaker</t>
        </is>
      </c>
      <c r="D1673" s="1">
        <v>96428</v>
      </c>
      <c r="E1673" s="0" t="inlineStr">
        <is>
          <t>LOGAN:96428D-XL</t>
        </is>
      </c>
      <c r="G1673" s="0" t="inlineStr">
        <is>
          <t>MENS</t>
        </is>
      </c>
      <c r="H1673" s="0" t="inlineStr">
        <is>
          <t>XL</t>
        </is>
      </c>
      <c r="I1673" s="0">
        <v>54.99</v>
      </c>
      <c r="J1673" s="0">
        <v>32</v>
      </c>
    </row>
    <row r="1674" spans="1:10" customHeight="0">
      <c r="A1674" s="0">
        <f>HYPERLINK("https://dl.dropboxusercontent.com/scl/fi/lqtrr4zzcs38aguebgobw/96428f48778.jpg?rlkey=c0nkkvphoglfgyblfb5grnglg&amp;dl=0","Click to download Image")</f>
      </c>
      <c r="B1674" s="0">
        <f>HYPERLINK("https://dl.dropboxusercontent.com/scl/fi/vjv1lrwgp0ytsuevipmq6/mens-d.jpg?rlkey=xq8txuoic3bgbwter1ryh2zlw&amp;dl=0","Click to download SizeChart")</f>
      </c>
      <c r="C1674" s="0" t="inlineStr">
        <is>
          <t>Logan Men's Windbreaker</t>
        </is>
      </c>
      <c r="D1674" s="1">
        <v>96428</v>
      </c>
      <c r="E1674" s="0" t="inlineStr">
        <is>
          <t>LOGAN:96428E-2XL</t>
        </is>
      </c>
      <c r="G1674" s="0" t="inlineStr">
        <is>
          <t>MENS</t>
        </is>
      </c>
      <c r="H1674" s="0" t="inlineStr">
        <is>
          <t>2XL</t>
        </is>
      </c>
      <c r="I1674" s="0">
        <v>56.99</v>
      </c>
      <c r="J1674" s="0">
        <v>9</v>
      </c>
    </row>
    <row r="1675" spans="1:10" customHeight="0">
      <c r="A1675" s="0">
        <f>HYPERLINK("https://dl.dropboxusercontent.com/scl/fi/lqtrr4zzcs38aguebgobw/96428f48778.jpg?rlkey=c0nkkvphoglfgyblfb5grnglg&amp;dl=0","Click to download Image")</f>
      </c>
      <c r="B1675" s="0">
        <f>HYPERLINK("https://dl.dropboxusercontent.com/scl/fi/vjv1lrwgp0ytsuevipmq6/mens-d.jpg?rlkey=xq8txuoic3bgbwter1ryh2zlw&amp;dl=0","Click to download SizeChart")</f>
      </c>
      <c r="C1675" s="0" t="inlineStr">
        <is>
          <t>Logan Men's Windbreaker</t>
        </is>
      </c>
      <c r="D1675" s="1">
        <v>96428</v>
      </c>
      <c r="E1675" s="0" t="inlineStr">
        <is>
          <t>LOGAN:96428F-3XL</t>
        </is>
      </c>
      <c r="G1675" s="0" t="inlineStr">
        <is>
          <t>MENS</t>
        </is>
      </c>
      <c r="H1675" s="0" t="inlineStr">
        <is>
          <t>3XL</t>
        </is>
      </c>
      <c r="I1675" s="0">
        <v>56.99</v>
      </c>
      <c r="J1675" s="0">
        <v>8</v>
      </c>
    </row>
    <row r="1676" spans="1:10" customHeight="0">
      <c r="A1676" s="0">
        <f>HYPERLINK("https://dl.dropboxusercontent.com/scl/fi/vf6hiyr140kgagji46b76/117185-af.jpg?rlkey=hac5sa4bqhuz5rgi5j18v2esb&amp;dl=0","Click to download Image")</f>
      </c>
      <c r="C1676" s="0" t="inlineStr">
        <is>
          <t>Nyomi Women's Cap</t>
        </is>
      </c>
      <c r="D1676" s="1">
        <v>117185</v>
      </c>
      <c r="E1676" s="0" t="inlineStr">
        <is>
          <t>IOWA NYOMI A GREY:117185</t>
        </is>
      </c>
      <c r="F1676" s="2">
        <v>700117185019</v>
      </c>
      <c r="G1676" s="0" t="inlineStr">
        <is>
          <t>WOMENS</t>
        </is>
      </c>
      <c r="H1676" s="0" t="inlineStr">
        <is>
          <t>WOMENS</t>
        </is>
      </c>
      <c r="I1676" s="0">
        <v>19.99</v>
      </c>
      <c r="J1676" s="0">
        <v>18</v>
      </c>
    </row>
    <row r="1677" spans="1:10" customHeight="0">
      <c r="A1677" s="0">
        <f>HYPERLINK("https://dl.dropboxusercontent.com/scl/fi/kqrwj99f1pnjr7tdis1j6/123233-f.jpg?rlkey=mc0dlf8y27sc0tm7hhbygktdo&amp;dl=0","Click to download Image")</f>
      </c>
      <c r="B1677" s="0">
        <f>HYPERLINK("https://dl.dropboxusercontent.com/scl/fi/3tq89j2jrfnat9nzwl4xf/2january-20201mens.jpg?rlkey=dwc6b6c0wong2470406vttvln&amp;dl=0","Click to download SizeChart")</f>
      </c>
      <c r="C1677" s="0" t="inlineStr">
        <is>
          <t>Fletcher Men's Midweight Hoodie</t>
        </is>
      </c>
      <c r="D1677" s="1">
        <v>123233</v>
      </c>
      <c r="E1677" s="0" t="inlineStr">
        <is>
          <t>IOWA FLETCH HD GY:123233A-S</t>
        </is>
      </c>
      <c r="F1677" s="2">
        <v>898123231018</v>
      </c>
      <c r="G1677" s="0" t="inlineStr">
        <is>
          <t>MENS</t>
        </is>
      </c>
      <c r="H1677" s="0" t="inlineStr">
        <is>
          <t>S</t>
        </is>
      </c>
      <c r="I1677" s="0">
        <v>39.99</v>
      </c>
      <c r="J1677" s="0">
        <v>0</v>
      </c>
    </row>
    <row r="1678" spans="1:10" customHeight="0">
      <c r="A1678" s="0">
        <f>HYPERLINK("https://dl.dropboxusercontent.com/scl/fi/kqrwj99f1pnjr7tdis1j6/123233-f.jpg?rlkey=mc0dlf8y27sc0tm7hhbygktdo&amp;dl=0","Click to download Image")</f>
      </c>
      <c r="B1678" s="0">
        <f>HYPERLINK("https://dl.dropboxusercontent.com/scl/fi/3tq89j2jrfnat9nzwl4xf/2january-20201mens.jpg?rlkey=dwc6b6c0wong2470406vttvln&amp;dl=0","Click to download SizeChart")</f>
      </c>
      <c r="C1678" s="0" t="inlineStr">
        <is>
          <t>Fletcher Men's Midweight Hoodie</t>
        </is>
      </c>
      <c r="D1678" s="1">
        <v>123233</v>
      </c>
      <c r="E1678" s="0" t="inlineStr">
        <is>
          <t>IOWA FLETCH HD GY:123233F-3XL</t>
        </is>
      </c>
      <c r="F1678" s="2">
        <v>898123231018</v>
      </c>
      <c r="G1678" s="0" t="inlineStr">
        <is>
          <t>MENS</t>
        </is>
      </c>
      <c r="H1678" s="0" t="inlineStr">
        <is>
          <t>3XL</t>
        </is>
      </c>
      <c r="I1678" s="0">
        <v>39.99</v>
      </c>
      <c r="J1678" s="0">
        <v>9</v>
      </c>
    </row>
    <row r="1679" spans="1:10" customHeight="0">
      <c r="A1679" s="0">
        <f>HYPERLINK("https://dl.dropboxusercontent.com/scl/fi/fc3rtros4n79x35ldpxgc/adams-150444-f.jpg?rlkey=nesnz4c3et82ri728nhw1t3f8&amp;dl=0","Click to download Image")</f>
      </c>
      <c r="B1679" s="0">
        <f>HYPERLINK("https://dl.dropboxusercontent.com/scl/fi/d7hx9ej2uqnfbj0jjn1l2/mens-t-shirt-size-chartsslate-ls.jpg?rlkey=44njqs19p9sm4035eo4tn0wiu&amp;dl=0","Click to download SizeChart")</f>
      </c>
      <c r="C1679" s="0" t="inlineStr">
        <is>
          <t>Adams Men's Long Sleeve Shirt</t>
        </is>
      </c>
      <c r="D1679" s="1">
        <v>150444</v>
      </c>
      <c r="E1679" s="0" t="inlineStr">
        <is>
          <t>IOWA ADAMS M BK:150444A-S</t>
        </is>
      </c>
      <c r="F1679" s="2">
        <v>800150444040</v>
      </c>
      <c r="G1679" s="0" t="inlineStr">
        <is>
          <t>MENS</t>
        </is>
      </c>
      <c r="H1679" s="0" t="inlineStr">
        <is>
          <t>S</t>
        </is>
      </c>
      <c r="I1679" s="0">
        <v>32.99</v>
      </c>
      <c r="J1679" s="0">
        <v>5</v>
      </c>
    </row>
    <row r="1680" spans="1:10" customHeight="0">
      <c r="A1680" s="0">
        <f>HYPERLINK("https://dl.dropboxusercontent.com/scl/fi/fc3rtros4n79x35ldpxgc/adams-150444-f.jpg?rlkey=nesnz4c3et82ri728nhw1t3f8&amp;dl=0","Click to download Image")</f>
      </c>
      <c r="B1680" s="0">
        <f>HYPERLINK("https://dl.dropboxusercontent.com/scl/fi/d7hx9ej2uqnfbj0jjn1l2/mens-t-shirt-size-chartsslate-ls.jpg?rlkey=44njqs19p9sm4035eo4tn0wiu&amp;dl=0","Click to download SizeChart")</f>
      </c>
      <c r="C1680" s="0" t="inlineStr">
        <is>
          <t>Adams Men's Long Sleeve Shirt</t>
        </is>
      </c>
      <c r="D1680" s="1">
        <v>150444</v>
      </c>
      <c r="E1680" s="0" t="inlineStr">
        <is>
          <t>IOWA ADAMS M BK:150444B-M</t>
        </is>
      </c>
      <c r="F1680" s="2">
        <v>800150444057</v>
      </c>
      <c r="G1680" s="0" t="inlineStr">
        <is>
          <t>MENS</t>
        </is>
      </c>
      <c r="H1680" s="0" t="inlineStr">
        <is>
          <t>M</t>
        </is>
      </c>
      <c r="I1680" s="0">
        <v>32.99</v>
      </c>
      <c r="J1680" s="0">
        <v>0</v>
      </c>
    </row>
    <row r="1681" spans="1:10" customHeight="0">
      <c r="A1681" s="0">
        <f>HYPERLINK("https://dl.dropboxusercontent.com/scl/fi/fc3rtros4n79x35ldpxgc/adams-150444-f.jpg?rlkey=nesnz4c3et82ri728nhw1t3f8&amp;dl=0","Click to download Image")</f>
      </c>
      <c r="B1681" s="0">
        <f>HYPERLINK("https://dl.dropboxusercontent.com/scl/fi/d7hx9ej2uqnfbj0jjn1l2/mens-t-shirt-size-chartsslate-ls.jpg?rlkey=44njqs19p9sm4035eo4tn0wiu&amp;dl=0","Click to download SizeChart")</f>
      </c>
      <c r="C1681" s="0" t="inlineStr">
        <is>
          <t>Adams Men's Long Sleeve Shirt</t>
        </is>
      </c>
      <c r="D1681" s="1">
        <v>150444</v>
      </c>
      <c r="E1681" s="0" t="inlineStr">
        <is>
          <t>IOWA ADAMS M BK:150444C-L</t>
        </is>
      </c>
      <c r="F1681" s="2">
        <v>800150444064</v>
      </c>
      <c r="G1681" s="0" t="inlineStr">
        <is>
          <t>MENS</t>
        </is>
      </c>
      <c r="H1681" s="0" t="inlineStr">
        <is>
          <t>L</t>
        </is>
      </c>
      <c r="I1681" s="0">
        <v>32.99</v>
      </c>
      <c r="J1681" s="0">
        <v>0</v>
      </c>
    </row>
    <row r="1682" spans="1:10" customHeight="0">
      <c r="A1682" s="0">
        <f>HYPERLINK("https://dl.dropboxusercontent.com/scl/fi/fc3rtros4n79x35ldpxgc/adams-150444-f.jpg?rlkey=nesnz4c3et82ri728nhw1t3f8&amp;dl=0","Click to download Image")</f>
      </c>
      <c r="B1682" s="0">
        <f>HYPERLINK("https://dl.dropboxusercontent.com/scl/fi/d7hx9ej2uqnfbj0jjn1l2/mens-t-shirt-size-chartsslate-ls.jpg?rlkey=44njqs19p9sm4035eo4tn0wiu&amp;dl=0","Click to download SizeChart")</f>
      </c>
      <c r="C1682" s="0" t="inlineStr">
        <is>
          <t>Adams Men's Long Sleeve Shirt</t>
        </is>
      </c>
      <c r="D1682" s="1">
        <v>150444</v>
      </c>
      <c r="E1682" s="0" t="inlineStr">
        <is>
          <t>IOWA ADAMS M BK:150444D-XL</t>
        </is>
      </c>
      <c r="F1682" s="2">
        <v>800150444071</v>
      </c>
      <c r="G1682" s="0" t="inlineStr">
        <is>
          <t>MENS</t>
        </is>
      </c>
      <c r="H1682" s="0" t="inlineStr">
        <is>
          <t>XL</t>
        </is>
      </c>
      <c r="I1682" s="0">
        <v>32.99</v>
      </c>
      <c r="J1682" s="0">
        <v>0</v>
      </c>
    </row>
    <row r="1683" spans="1:10" customHeight="0">
      <c r="A1683" s="0">
        <f>HYPERLINK("https://dl.dropboxusercontent.com/scl/fi/fc3rtros4n79x35ldpxgc/adams-150444-f.jpg?rlkey=nesnz4c3et82ri728nhw1t3f8&amp;dl=0","Click to download Image")</f>
      </c>
      <c r="B1683" s="0">
        <f>HYPERLINK("https://dl.dropboxusercontent.com/scl/fi/d7hx9ej2uqnfbj0jjn1l2/mens-t-shirt-size-chartsslate-ls.jpg?rlkey=44njqs19p9sm4035eo4tn0wiu&amp;dl=0","Click to download SizeChart")</f>
      </c>
      <c r="C1683" s="0" t="inlineStr">
        <is>
          <t>Adams Men's Long Sleeve Shirt</t>
        </is>
      </c>
      <c r="D1683" s="1">
        <v>150444</v>
      </c>
      <c r="E1683" s="0" t="inlineStr">
        <is>
          <t>IOWA ADAMS M BK:150444E-2XL</t>
        </is>
      </c>
      <c r="F1683" s="2">
        <v>800150444088</v>
      </c>
      <c r="G1683" s="0" t="inlineStr">
        <is>
          <t>MENS</t>
        </is>
      </c>
      <c r="H1683" s="0" t="inlineStr">
        <is>
          <t>2XL</t>
        </is>
      </c>
      <c r="I1683" s="0">
        <v>32.99</v>
      </c>
      <c r="J1683" s="0">
        <v>1</v>
      </c>
    </row>
    <row r="1684" spans="1:10" customHeight="0">
      <c r="A1684" s="0">
        <f>HYPERLINK("https://dl.dropboxusercontent.com/scl/fi/fc3rtros4n79x35ldpxgc/adams-150444-f.jpg?rlkey=nesnz4c3et82ri728nhw1t3f8&amp;dl=0","Click to download Image")</f>
      </c>
      <c r="B1684" s="0">
        <f>HYPERLINK("https://dl.dropboxusercontent.com/scl/fi/d7hx9ej2uqnfbj0jjn1l2/mens-t-shirt-size-chartsslate-ls.jpg?rlkey=44njqs19p9sm4035eo4tn0wiu&amp;dl=0","Click to download SizeChart")</f>
      </c>
      <c r="C1684" s="0" t="inlineStr">
        <is>
          <t>Adams Men's Long Sleeve Shirt</t>
        </is>
      </c>
      <c r="D1684" s="1">
        <v>150444</v>
      </c>
      <c r="E1684" s="0" t="inlineStr">
        <is>
          <t>IOWA ADAMS M BK:150444F-3XL</t>
        </is>
      </c>
      <c r="F1684" s="2">
        <v>800150444095</v>
      </c>
      <c r="G1684" s="0" t="inlineStr">
        <is>
          <t>MENS</t>
        </is>
      </c>
      <c r="H1684" s="0" t="inlineStr">
        <is>
          <t>3XL</t>
        </is>
      </c>
      <c r="I1684" s="0">
        <v>32.99</v>
      </c>
      <c r="J1684" s="0">
        <v>0</v>
      </c>
    </row>
    <row r="1685" spans="1:10" customHeight="0">
      <c r="A1685" s="0">
        <f>HYPERLINK("https://dl.dropboxusercontent.com/scl/fi/o4aeihu2mwpcjetmpc6z1/adams-150445-f.jpg?rlkey=bm5q03e428iaqgrr7m9op95mj&amp;dl=0","Click to download Image")</f>
      </c>
      <c r="B1685" s="0">
        <f>HYPERLINK("https://dl.dropboxusercontent.com/scl/fi/d7hx9ej2uqnfbj0jjn1l2/mens-t-shirt-size-chartsslate-ls.jpg?rlkey=44njqs19p9sm4035eo4tn0wiu&amp;dl=0","Click to download SizeChart")</f>
      </c>
      <c r="C1685" s="0" t="inlineStr">
        <is>
          <t>Adams Men's Long Sleeve Shirt</t>
        </is>
      </c>
      <c r="D1685" s="1">
        <v>150445</v>
      </c>
      <c r="E1685" s="0" t="inlineStr">
        <is>
          <t>IOWA ADAMS M GD:150445A-S</t>
        </is>
      </c>
      <c r="F1685" s="2">
        <v>800150445047</v>
      </c>
      <c r="G1685" s="0" t="inlineStr">
        <is>
          <t>MENS</t>
        </is>
      </c>
      <c r="H1685" s="0" t="inlineStr">
        <is>
          <t>S</t>
        </is>
      </c>
      <c r="I1685" s="0">
        <v>32.99</v>
      </c>
      <c r="J1685" s="0">
        <v>2</v>
      </c>
    </row>
    <row r="1686" spans="1:10" customHeight="0">
      <c r="A1686" s="0">
        <f>HYPERLINK("https://dl.dropboxusercontent.com/scl/fi/o4aeihu2mwpcjetmpc6z1/adams-150445-f.jpg?rlkey=bm5q03e428iaqgrr7m9op95mj&amp;dl=0","Click to download Image")</f>
      </c>
      <c r="B1686" s="0">
        <f>HYPERLINK("https://dl.dropboxusercontent.com/scl/fi/d7hx9ej2uqnfbj0jjn1l2/mens-t-shirt-size-chartsslate-ls.jpg?rlkey=44njqs19p9sm4035eo4tn0wiu&amp;dl=0","Click to download SizeChart")</f>
      </c>
      <c r="C1686" s="0" t="inlineStr">
        <is>
          <t>Adams Men's Long Sleeve Shirt</t>
        </is>
      </c>
      <c r="D1686" s="1">
        <v>150445</v>
      </c>
      <c r="E1686" s="0" t="inlineStr">
        <is>
          <t>IOWA ADAMS M GD:150445B-M</t>
        </is>
      </c>
      <c r="F1686" s="2">
        <v>800150445054</v>
      </c>
      <c r="G1686" s="0" t="inlineStr">
        <is>
          <t>MENS</t>
        </is>
      </c>
      <c r="H1686" s="0" t="inlineStr">
        <is>
          <t>M</t>
        </is>
      </c>
      <c r="I1686" s="0">
        <v>32.99</v>
      </c>
      <c r="J1686" s="0">
        <v>0</v>
      </c>
    </row>
    <row r="1687" spans="1:10" customHeight="0">
      <c r="A1687" s="0">
        <f>HYPERLINK("https://dl.dropboxusercontent.com/scl/fi/o4aeihu2mwpcjetmpc6z1/adams-150445-f.jpg?rlkey=bm5q03e428iaqgrr7m9op95mj&amp;dl=0","Click to download Image")</f>
      </c>
      <c r="B1687" s="0">
        <f>HYPERLINK("https://dl.dropboxusercontent.com/scl/fi/d7hx9ej2uqnfbj0jjn1l2/mens-t-shirt-size-chartsslate-ls.jpg?rlkey=44njqs19p9sm4035eo4tn0wiu&amp;dl=0","Click to download SizeChart")</f>
      </c>
      <c r="C1687" s="0" t="inlineStr">
        <is>
          <t>Adams Men's Long Sleeve Shirt</t>
        </is>
      </c>
      <c r="D1687" s="1">
        <v>150445</v>
      </c>
      <c r="E1687" s="0" t="inlineStr">
        <is>
          <t>IOWA ADAMS M GD:150445C-L</t>
        </is>
      </c>
      <c r="F1687" s="2">
        <v>800150445061</v>
      </c>
      <c r="G1687" s="0" t="inlineStr">
        <is>
          <t>MENS</t>
        </is>
      </c>
      <c r="H1687" s="0" t="inlineStr">
        <is>
          <t>L</t>
        </is>
      </c>
      <c r="I1687" s="0">
        <v>32.99</v>
      </c>
      <c r="J1687" s="0">
        <v>0</v>
      </c>
    </row>
    <row r="1688" spans="1:10" customHeight="0">
      <c r="A1688" s="0">
        <f>HYPERLINK("https://dl.dropboxusercontent.com/scl/fi/o4aeihu2mwpcjetmpc6z1/adams-150445-f.jpg?rlkey=bm5q03e428iaqgrr7m9op95mj&amp;dl=0","Click to download Image")</f>
      </c>
      <c r="B1688" s="0">
        <f>HYPERLINK("https://dl.dropboxusercontent.com/scl/fi/d7hx9ej2uqnfbj0jjn1l2/mens-t-shirt-size-chartsslate-ls.jpg?rlkey=44njqs19p9sm4035eo4tn0wiu&amp;dl=0","Click to download SizeChart")</f>
      </c>
      <c r="C1688" s="0" t="inlineStr">
        <is>
          <t>Adams Men's Long Sleeve Shirt</t>
        </is>
      </c>
      <c r="D1688" s="1">
        <v>150445</v>
      </c>
      <c r="E1688" s="0" t="inlineStr">
        <is>
          <t>IOWA ADAMS M GD:150445D-XL</t>
        </is>
      </c>
      <c r="F1688" s="2">
        <v>800150445078</v>
      </c>
      <c r="G1688" s="0" t="inlineStr">
        <is>
          <t>MENS</t>
        </is>
      </c>
      <c r="H1688" s="0" t="inlineStr">
        <is>
          <t>XL</t>
        </is>
      </c>
      <c r="I1688" s="0">
        <v>32.99</v>
      </c>
      <c r="J1688" s="0">
        <v>0</v>
      </c>
    </row>
    <row r="1689" spans="1:10" customHeight="0">
      <c r="A1689" s="0">
        <f>HYPERLINK("https://dl.dropboxusercontent.com/scl/fi/o4aeihu2mwpcjetmpc6z1/adams-150445-f.jpg?rlkey=bm5q03e428iaqgrr7m9op95mj&amp;dl=0","Click to download Image")</f>
      </c>
      <c r="B1689" s="0">
        <f>HYPERLINK("https://dl.dropboxusercontent.com/scl/fi/d7hx9ej2uqnfbj0jjn1l2/mens-t-shirt-size-chartsslate-ls.jpg?rlkey=44njqs19p9sm4035eo4tn0wiu&amp;dl=0","Click to download SizeChart")</f>
      </c>
      <c r="C1689" s="0" t="inlineStr">
        <is>
          <t>Adams Men's Long Sleeve Shirt</t>
        </is>
      </c>
      <c r="D1689" s="1">
        <v>150445</v>
      </c>
      <c r="E1689" s="0" t="inlineStr">
        <is>
          <t>IOWA ADAMS M GD:150445E-2XL</t>
        </is>
      </c>
      <c r="F1689" s="2">
        <v>800150445085</v>
      </c>
      <c r="G1689" s="0" t="inlineStr">
        <is>
          <t>MENS</t>
        </is>
      </c>
      <c r="H1689" s="0" t="inlineStr">
        <is>
          <t>2XL</t>
        </is>
      </c>
      <c r="I1689" s="0">
        <v>32.99</v>
      </c>
      <c r="J1689" s="0">
        <v>0</v>
      </c>
    </row>
    <row r="1690" spans="1:10" customHeight="0">
      <c r="A1690" s="0">
        <f>HYPERLINK("https://dl.dropboxusercontent.com/scl/fi/o4aeihu2mwpcjetmpc6z1/adams-150445-f.jpg?rlkey=bm5q03e428iaqgrr7m9op95mj&amp;dl=0","Click to download Image")</f>
      </c>
      <c r="B1690" s="0">
        <f>HYPERLINK("https://dl.dropboxusercontent.com/scl/fi/d7hx9ej2uqnfbj0jjn1l2/mens-t-shirt-size-chartsslate-ls.jpg?rlkey=44njqs19p9sm4035eo4tn0wiu&amp;dl=0","Click to download SizeChart")</f>
      </c>
      <c r="C1690" s="0" t="inlineStr">
        <is>
          <t>Adams Men's Long Sleeve Shirt</t>
        </is>
      </c>
      <c r="D1690" s="1">
        <v>150445</v>
      </c>
      <c r="E1690" s="0" t="inlineStr">
        <is>
          <t>IOWA ADAMS M GD:150445F-3XL</t>
        </is>
      </c>
      <c r="F1690" s="2">
        <v>800150445092</v>
      </c>
      <c r="G1690" s="0" t="inlineStr">
        <is>
          <t>MENS</t>
        </is>
      </c>
      <c r="H1690" s="0" t="inlineStr">
        <is>
          <t>3XL</t>
        </is>
      </c>
      <c r="I1690" s="0">
        <v>32.99</v>
      </c>
      <c r="J1690" s="0">
        <v>0</v>
      </c>
    </row>
    <row r="1691" spans="1:10" customHeight="0">
      <c r="A1691" s="0">
        <f>HYPERLINK("https://dl.dropboxusercontent.com/scl/fi/0tpssntjbpiuosrvn3zt2/111375-af.jpg?rlkey=fqd2msmc1gqcszjvx725juds0&amp;dl=0","Click to download Image")</f>
      </c>
      <c r="B1691" s="0">
        <f>HYPERLINK("https://dl.dropboxusercontent.com/scl/fi/ctx96aim0skbkk75243uf/mens-t-shirt-size-chartseli.jpg?rlkey=nkmn3fq29kr1hwtwz5xmyr8kg&amp;dl=0","Click to download SizeChart")</f>
      </c>
      <c r="C1691" s="0" t="inlineStr">
        <is>
          <t>Eli Men's 3/4 Sleeve Baseball Shirt</t>
        </is>
      </c>
      <c r="D1691" s="1">
        <v>111375</v>
      </c>
      <c r="E1691" s="0" t="inlineStr">
        <is>
          <t>IOWA ELI BLACK:111375A-S</t>
        </is>
      </c>
      <c r="F1691" s="2">
        <v>800111375048</v>
      </c>
      <c r="G1691" s="0" t="inlineStr">
        <is>
          <t>MENS</t>
        </is>
      </c>
      <c r="H1691" s="0" t="inlineStr">
        <is>
          <t>S</t>
        </is>
      </c>
      <c r="I1691" s="0">
        <v>28.99</v>
      </c>
      <c r="J1691" s="0">
        <v>21</v>
      </c>
    </row>
    <row r="1692" spans="1:10" customHeight="0">
      <c r="A1692" s="0">
        <f>HYPERLINK("https://dl.dropboxusercontent.com/scl/fi/0tpssntjbpiuosrvn3zt2/111375-af.jpg?rlkey=fqd2msmc1gqcszjvx725juds0&amp;dl=0","Click to download Image")</f>
      </c>
      <c r="B1692" s="0">
        <f>HYPERLINK("https://dl.dropboxusercontent.com/scl/fi/ctx96aim0skbkk75243uf/mens-t-shirt-size-chartseli.jpg?rlkey=nkmn3fq29kr1hwtwz5xmyr8kg&amp;dl=0","Click to download SizeChart")</f>
      </c>
      <c r="C1692" s="0" t="inlineStr">
        <is>
          <t>Eli Men's 3/4 Sleeve Baseball Shirt</t>
        </is>
      </c>
      <c r="D1692" s="1">
        <v>111375</v>
      </c>
      <c r="E1692" s="0" t="inlineStr">
        <is>
          <t>IOWA ELI BLACK:111375B-M</t>
        </is>
      </c>
      <c r="F1692" s="2">
        <v>800111375055</v>
      </c>
      <c r="G1692" s="0" t="inlineStr">
        <is>
          <t>MENS</t>
        </is>
      </c>
      <c r="H1692" s="0" t="inlineStr">
        <is>
          <t>M</t>
        </is>
      </c>
      <c r="I1692" s="0">
        <v>28.99</v>
      </c>
      <c r="J1692" s="0">
        <v>45</v>
      </c>
    </row>
    <row r="1693" spans="1:10" customHeight="0">
      <c r="A1693" s="0">
        <f>HYPERLINK("https://dl.dropboxusercontent.com/scl/fi/0tpssntjbpiuosrvn3zt2/111375-af.jpg?rlkey=fqd2msmc1gqcszjvx725juds0&amp;dl=0","Click to download Image")</f>
      </c>
      <c r="B1693" s="0">
        <f>HYPERLINK("https://dl.dropboxusercontent.com/scl/fi/ctx96aim0skbkk75243uf/mens-t-shirt-size-chartseli.jpg?rlkey=nkmn3fq29kr1hwtwz5xmyr8kg&amp;dl=0","Click to download SizeChart")</f>
      </c>
      <c r="C1693" s="0" t="inlineStr">
        <is>
          <t>Eli Men's 3/4 Sleeve Baseball Shirt</t>
        </is>
      </c>
      <c r="D1693" s="1">
        <v>111375</v>
      </c>
      <c r="E1693" s="0" t="inlineStr">
        <is>
          <t>IOWA ELI BLACK:111375C-L</t>
        </is>
      </c>
      <c r="F1693" s="2">
        <v>800111375062</v>
      </c>
      <c r="G1693" s="0" t="inlineStr">
        <is>
          <t>MENS</t>
        </is>
      </c>
      <c r="H1693" s="0" t="inlineStr">
        <is>
          <t>L</t>
        </is>
      </c>
      <c r="I1693" s="0">
        <v>28.99</v>
      </c>
      <c r="J1693" s="0">
        <v>68</v>
      </c>
    </row>
    <row r="1694" spans="1:10" customHeight="0">
      <c r="A1694" s="0">
        <f>HYPERLINK("https://dl.dropboxusercontent.com/scl/fi/0tpssntjbpiuosrvn3zt2/111375-af.jpg?rlkey=fqd2msmc1gqcszjvx725juds0&amp;dl=0","Click to download Image")</f>
      </c>
      <c r="B1694" s="0">
        <f>HYPERLINK("https://dl.dropboxusercontent.com/scl/fi/ctx96aim0skbkk75243uf/mens-t-shirt-size-chartseli.jpg?rlkey=nkmn3fq29kr1hwtwz5xmyr8kg&amp;dl=0","Click to download SizeChart")</f>
      </c>
      <c r="C1694" s="0" t="inlineStr">
        <is>
          <t>Eli Men's 3/4 Sleeve Baseball Shirt</t>
        </is>
      </c>
      <c r="D1694" s="1">
        <v>111375</v>
      </c>
      <c r="E1694" s="0" t="inlineStr">
        <is>
          <t>IOWA ELI BLACK:111375D-XL</t>
        </is>
      </c>
      <c r="F1694" s="2">
        <v>800111375079</v>
      </c>
      <c r="G1694" s="0" t="inlineStr">
        <is>
          <t>MENS</t>
        </is>
      </c>
      <c r="H1694" s="0" t="inlineStr">
        <is>
          <t>XL</t>
        </is>
      </c>
      <c r="I1694" s="0">
        <v>28.99</v>
      </c>
      <c r="J1694" s="0">
        <v>67</v>
      </c>
    </row>
    <row r="1695" spans="1:10" customHeight="0">
      <c r="A1695" s="0">
        <f>HYPERLINK("https://dl.dropboxusercontent.com/scl/fi/0tpssntjbpiuosrvn3zt2/111375-af.jpg?rlkey=fqd2msmc1gqcszjvx725juds0&amp;dl=0","Click to download Image")</f>
      </c>
      <c r="B1695" s="0">
        <f>HYPERLINK("https://dl.dropboxusercontent.com/scl/fi/ctx96aim0skbkk75243uf/mens-t-shirt-size-chartseli.jpg?rlkey=nkmn3fq29kr1hwtwz5xmyr8kg&amp;dl=0","Click to download SizeChart")</f>
      </c>
      <c r="C1695" s="0" t="inlineStr">
        <is>
          <t>Eli Men's 3/4 Sleeve Baseball Shirt</t>
        </is>
      </c>
      <c r="D1695" s="1">
        <v>111375</v>
      </c>
      <c r="E1695" s="0" t="inlineStr">
        <is>
          <t>IOWA ELI BLACK:111375E-2XL</t>
        </is>
      </c>
      <c r="F1695" s="2">
        <v>800111375086</v>
      </c>
      <c r="G1695" s="0" t="inlineStr">
        <is>
          <t>MENS</t>
        </is>
      </c>
      <c r="H1695" s="0" t="inlineStr">
        <is>
          <t>2XL</t>
        </is>
      </c>
      <c r="I1695" s="0">
        <v>28.99</v>
      </c>
      <c r="J1695" s="0">
        <v>46</v>
      </c>
    </row>
    <row r="1696" spans="1:10" customHeight="0">
      <c r="A1696" s="0">
        <f>HYPERLINK("https://dl.dropboxusercontent.com/scl/fi/0tpssntjbpiuosrvn3zt2/111375-af.jpg?rlkey=fqd2msmc1gqcszjvx725juds0&amp;dl=0","Click to download Image")</f>
      </c>
      <c r="B1696" s="0">
        <f>HYPERLINK("https://dl.dropboxusercontent.com/scl/fi/ctx96aim0skbkk75243uf/mens-t-shirt-size-chartseli.jpg?rlkey=nkmn3fq29kr1hwtwz5xmyr8kg&amp;dl=0","Click to download SizeChart")</f>
      </c>
      <c r="C1696" s="0" t="inlineStr">
        <is>
          <t>Eli Men's 3/4 Sleeve Baseball Shirt</t>
        </is>
      </c>
      <c r="D1696" s="1">
        <v>111375</v>
      </c>
      <c r="E1696" s="0" t="inlineStr">
        <is>
          <t>IOWA ELI BLACK:111375F-3XL</t>
        </is>
      </c>
      <c r="F1696" s="2">
        <v>800111375093</v>
      </c>
      <c r="G1696" s="0" t="inlineStr">
        <is>
          <t>MENS</t>
        </is>
      </c>
      <c r="H1696" s="0" t="inlineStr">
        <is>
          <t>3XL</t>
        </is>
      </c>
      <c r="I1696" s="0">
        <v>28.99</v>
      </c>
      <c r="J1696" s="0">
        <v>21</v>
      </c>
    </row>
    <row r="1697" spans="1:10" customHeight="0">
      <c r="A1697" s="0">
        <f>HYPERLINK("https://dl.dropboxusercontent.com/scl/fi/iwoxst4uixdjbt5vd1brz/111368-af.jpg?rlkey=t1ra0nb85plti78fc43ssn7ka&amp;dl=0","Click to download Image")</f>
      </c>
      <c r="B1697" s="0">
        <f>HYPERLINK("https://dl.dropboxusercontent.com/scl/fi/ctx96aim0skbkk75243uf/mens-t-shirt-size-chartseli.jpg?rlkey=nkmn3fq29kr1hwtwz5xmyr8kg&amp;dl=0","Click to download SizeChart")</f>
      </c>
      <c r="C1697" s="0" t="inlineStr">
        <is>
          <t>Eli Men's 3/4 Sleeve Baseball Shirt</t>
        </is>
      </c>
      <c r="D1697" s="1">
        <v>111368</v>
      </c>
      <c r="E1697" s="0" t="inlineStr">
        <is>
          <t>IOWA ELI GOLD:111368A-S</t>
        </is>
      </c>
      <c r="F1697" s="2">
        <v>800111368040</v>
      </c>
      <c r="G1697" s="0" t="inlineStr">
        <is>
          <t>MENS</t>
        </is>
      </c>
      <c r="H1697" s="0" t="inlineStr">
        <is>
          <t>S</t>
        </is>
      </c>
      <c r="I1697" s="0">
        <v>28.99</v>
      </c>
      <c r="J1697" s="0">
        <v>21</v>
      </c>
    </row>
    <row r="1698" spans="1:10" customHeight="0">
      <c r="A1698" s="0">
        <f>HYPERLINK("https://dl.dropboxusercontent.com/scl/fi/iwoxst4uixdjbt5vd1brz/111368-af.jpg?rlkey=t1ra0nb85plti78fc43ssn7ka&amp;dl=0","Click to download Image")</f>
      </c>
      <c r="B1698" s="0">
        <f>HYPERLINK("https://dl.dropboxusercontent.com/scl/fi/ctx96aim0skbkk75243uf/mens-t-shirt-size-chartseli.jpg?rlkey=nkmn3fq29kr1hwtwz5xmyr8kg&amp;dl=0","Click to download SizeChart")</f>
      </c>
      <c r="C1698" s="0" t="inlineStr">
        <is>
          <t>Eli Men's 3/4 Sleeve Baseball Shirt</t>
        </is>
      </c>
      <c r="D1698" s="1">
        <v>111368</v>
      </c>
      <c r="E1698" s="0" t="inlineStr">
        <is>
          <t>IOWA ELI GOLD:111368B-M</t>
        </is>
      </c>
      <c r="F1698" s="2">
        <v>800111368057</v>
      </c>
      <c r="G1698" s="0" t="inlineStr">
        <is>
          <t>MENS</t>
        </is>
      </c>
      <c r="H1698" s="0" t="inlineStr">
        <is>
          <t>M</t>
        </is>
      </c>
      <c r="I1698" s="0">
        <v>28.99</v>
      </c>
      <c r="J1698" s="0">
        <v>43</v>
      </c>
    </row>
    <row r="1699" spans="1:10" customHeight="0">
      <c r="A1699" s="0">
        <f>HYPERLINK("https://dl.dropboxusercontent.com/scl/fi/iwoxst4uixdjbt5vd1brz/111368-af.jpg?rlkey=t1ra0nb85plti78fc43ssn7ka&amp;dl=0","Click to download Image")</f>
      </c>
      <c r="B1699" s="0">
        <f>HYPERLINK("https://dl.dropboxusercontent.com/scl/fi/ctx96aim0skbkk75243uf/mens-t-shirt-size-chartseli.jpg?rlkey=nkmn3fq29kr1hwtwz5xmyr8kg&amp;dl=0","Click to download SizeChart")</f>
      </c>
      <c r="C1699" s="0" t="inlineStr">
        <is>
          <t>Eli Men's 3/4 Sleeve Baseball Shirt</t>
        </is>
      </c>
      <c r="D1699" s="1">
        <v>111368</v>
      </c>
      <c r="E1699" s="0" t="inlineStr">
        <is>
          <t>IOWA ELI GOLD:111368C-L</t>
        </is>
      </c>
      <c r="F1699" s="2">
        <v>800111368064</v>
      </c>
      <c r="G1699" s="0" t="inlineStr">
        <is>
          <t>MENS</t>
        </is>
      </c>
      <c r="H1699" s="0" t="inlineStr">
        <is>
          <t>L</t>
        </is>
      </c>
      <c r="I1699" s="0">
        <v>28.99</v>
      </c>
      <c r="J1699" s="0">
        <v>66</v>
      </c>
    </row>
    <row r="1700" spans="1:10" customHeight="0">
      <c r="A1700" s="0">
        <f>HYPERLINK("https://dl.dropboxusercontent.com/scl/fi/iwoxst4uixdjbt5vd1brz/111368-af.jpg?rlkey=t1ra0nb85plti78fc43ssn7ka&amp;dl=0","Click to download Image")</f>
      </c>
      <c r="B1700" s="0">
        <f>HYPERLINK("https://dl.dropboxusercontent.com/scl/fi/ctx96aim0skbkk75243uf/mens-t-shirt-size-chartseli.jpg?rlkey=nkmn3fq29kr1hwtwz5xmyr8kg&amp;dl=0","Click to download SizeChart")</f>
      </c>
      <c r="C1700" s="0" t="inlineStr">
        <is>
          <t>Eli Men's 3/4 Sleeve Baseball Shirt</t>
        </is>
      </c>
      <c r="D1700" s="1">
        <v>111368</v>
      </c>
      <c r="E1700" s="0" t="inlineStr">
        <is>
          <t>IOWA ELI GOLD:111368D-XL</t>
        </is>
      </c>
      <c r="F1700" s="2">
        <v>800111368071</v>
      </c>
      <c r="G1700" s="0" t="inlineStr">
        <is>
          <t>MENS</t>
        </is>
      </c>
      <c r="H1700" s="0" t="inlineStr">
        <is>
          <t>XL</t>
        </is>
      </c>
      <c r="I1700" s="0">
        <v>28.99</v>
      </c>
      <c r="J1700" s="0">
        <v>66</v>
      </c>
    </row>
    <row r="1701" spans="1:10" customHeight="0">
      <c r="A1701" s="0">
        <f>HYPERLINK("https://dl.dropboxusercontent.com/scl/fi/iwoxst4uixdjbt5vd1brz/111368-af.jpg?rlkey=t1ra0nb85plti78fc43ssn7ka&amp;dl=0","Click to download Image")</f>
      </c>
      <c r="B1701" s="0">
        <f>HYPERLINK("https://dl.dropboxusercontent.com/scl/fi/ctx96aim0skbkk75243uf/mens-t-shirt-size-chartseli.jpg?rlkey=nkmn3fq29kr1hwtwz5xmyr8kg&amp;dl=0","Click to download SizeChart")</f>
      </c>
      <c r="C1701" s="0" t="inlineStr">
        <is>
          <t>Eli Men's 3/4 Sleeve Baseball Shirt</t>
        </is>
      </c>
      <c r="D1701" s="1">
        <v>111368</v>
      </c>
      <c r="E1701" s="0" t="inlineStr">
        <is>
          <t>IOWA ELI GOLD:111368E-2XL</t>
        </is>
      </c>
      <c r="F1701" s="2">
        <v>800111368088</v>
      </c>
      <c r="G1701" s="0" t="inlineStr">
        <is>
          <t>MENS</t>
        </is>
      </c>
      <c r="H1701" s="0" t="inlineStr">
        <is>
          <t>2XL</t>
        </is>
      </c>
      <c r="I1701" s="0">
        <v>28.99</v>
      </c>
      <c r="J1701" s="0">
        <v>45</v>
      </c>
    </row>
    <row r="1702" spans="1:10" customHeight="0">
      <c r="A1702" s="0">
        <f>HYPERLINK("https://dl.dropboxusercontent.com/scl/fi/iwoxst4uixdjbt5vd1brz/111368-af.jpg?rlkey=t1ra0nb85plti78fc43ssn7ka&amp;dl=0","Click to download Image")</f>
      </c>
      <c r="B1702" s="0">
        <f>HYPERLINK("https://dl.dropboxusercontent.com/scl/fi/ctx96aim0skbkk75243uf/mens-t-shirt-size-chartseli.jpg?rlkey=nkmn3fq29kr1hwtwz5xmyr8kg&amp;dl=0","Click to download SizeChart")</f>
      </c>
      <c r="C1702" s="0" t="inlineStr">
        <is>
          <t>Eli Men's 3/4 Sleeve Baseball Shirt</t>
        </is>
      </c>
      <c r="D1702" s="1">
        <v>111368</v>
      </c>
      <c r="E1702" s="0" t="inlineStr">
        <is>
          <t>IOWA ELI GOLD:111368F-3XL</t>
        </is>
      </c>
      <c r="F1702" s="2">
        <v>800111368095</v>
      </c>
      <c r="G1702" s="0" t="inlineStr">
        <is>
          <t>MENS</t>
        </is>
      </c>
      <c r="H1702" s="0" t="inlineStr">
        <is>
          <t>3XL</t>
        </is>
      </c>
      <c r="I1702" s="0">
        <v>28.99</v>
      </c>
      <c r="J1702" s="0">
        <v>21</v>
      </c>
    </row>
    <row r="1703" spans="1:10" customHeight="0">
      <c r="A1703" s="0">
        <f>HYPERLINK("https://dl.dropboxusercontent.com/scl/fi/oh4c7accp7mflozjkt39f/109707-af.jpg?rlkey=xyve6y5opnv0za4zjgrv76umh&amp;dl=0","Click to download Image")</f>
      </c>
      <c r="C1703" s="0" t="inlineStr">
        <is>
          <t>6 Can Soft-Sided Cooler</t>
        </is>
      </c>
      <c r="D1703" s="1">
        <v>109707</v>
      </c>
      <c r="E1703" s="0" t="inlineStr">
        <is>
          <t>IOWA 6 CAN COOLER:IOWA 6 CAN COOLER</t>
        </is>
      </c>
      <c r="F1703" s="2">
        <v>900109707018</v>
      </c>
      <c r="H1703" s="0" t="inlineStr">
        <is>
          <t>OS</t>
        </is>
      </c>
      <c r="I1703" s="0">
        <v>14.99</v>
      </c>
      <c r="J1703" s="0">
        <v>78</v>
      </c>
    </row>
    <row r="1704" spans="1:10" customHeight="0">
      <c r="A1704" s="0">
        <f>HYPERLINK("https://dl.dropboxusercontent.com/scl/fi/tris1u3f8f86kyoe5idg8/109804-b.jpg?rlkey=hnco34oeqrqyj11qy8dvghwk9&amp;dl=0","Click to download Image")</f>
      </c>
      <c r="B1704" s="0">
        <f>HYPERLINK("https://dl.dropboxusercontent.com/scl/fi/d1z5nf607hddmmrgcwhwd/womens-t-shirt-size-chartssilver.jpg?rlkey=1n5r9tiqrhcwdreweqd8t70uw&amp;dl=0","Click to download SizeChart")</f>
      </c>
      <c r="C1704" s="0" t="inlineStr">
        <is>
          <t>Silver Women's Long Sleeve Shirt</t>
        </is>
      </c>
      <c r="D1704" s="1">
        <v>109804</v>
      </c>
      <c r="E1704" s="0" t="inlineStr">
        <is>
          <t>IOWA SILVER BLACK:109804A-S</t>
        </is>
      </c>
      <c r="F1704" s="2">
        <v>800109804017</v>
      </c>
      <c r="G1704" s="0" t="inlineStr">
        <is>
          <t>WOMENS</t>
        </is>
      </c>
      <c r="H1704" s="0" t="inlineStr">
        <is>
          <t>S</t>
        </is>
      </c>
      <c r="I1704" s="0">
        <v>34.99</v>
      </c>
      <c r="J1704" s="0">
        <v>21</v>
      </c>
    </row>
    <row r="1705" spans="1:10" customHeight="0">
      <c r="A1705" s="0">
        <f>HYPERLINK("https://dl.dropboxusercontent.com/scl/fi/tris1u3f8f86kyoe5idg8/109804-b.jpg?rlkey=hnco34oeqrqyj11qy8dvghwk9&amp;dl=0","Click to download Image")</f>
      </c>
      <c r="B1705" s="0">
        <f>HYPERLINK("https://dl.dropboxusercontent.com/scl/fi/d1z5nf607hddmmrgcwhwd/womens-t-shirt-size-chartssilver.jpg?rlkey=1n5r9tiqrhcwdreweqd8t70uw&amp;dl=0","Click to download SizeChart")</f>
      </c>
      <c r="C1705" s="0" t="inlineStr">
        <is>
          <t>Silver Women's Long Sleeve Shirt</t>
        </is>
      </c>
      <c r="D1705" s="1">
        <v>109804</v>
      </c>
      <c r="E1705" s="0" t="inlineStr">
        <is>
          <t>IOWA SILVER BLACK:109804B-M</t>
        </is>
      </c>
      <c r="F1705" s="2">
        <v>800109804024</v>
      </c>
      <c r="G1705" s="0" t="inlineStr">
        <is>
          <t>WOMENS</t>
        </is>
      </c>
      <c r="H1705" s="0" t="inlineStr">
        <is>
          <t>M</t>
        </is>
      </c>
      <c r="I1705" s="0">
        <v>34.99</v>
      </c>
      <c r="J1705" s="0">
        <v>59</v>
      </c>
    </row>
    <row r="1706" spans="1:10" customHeight="0">
      <c r="A1706" s="0">
        <f>HYPERLINK("https://dl.dropboxusercontent.com/scl/fi/tris1u3f8f86kyoe5idg8/109804-b.jpg?rlkey=hnco34oeqrqyj11qy8dvghwk9&amp;dl=0","Click to download Image")</f>
      </c>
      <c r="B1706" s="0">
        <f>HYPERLINK("https://dl.dropboxusercontent.com/scl/fi/d1z5nf607hddmmrgcwhwd/womens-t-shirt-size-chartssilver.jpg?rlkey=1n5r9tiqrhcwdreweqd8t70uw&amp;dl=0","Click to download SizeChart")</f>
      </c>
      <c r="C1706" s="0" t="inlineStr">
        <is>
          <t>Silver Women's Long Sleeve Shirt</t>
        </is>
      </c>
      <c r="D1706" s="1">
        <v>109804</v>
      </c>
      <c r="E1706" s="0" t="inlineStr">
        <is>
          <t>IOWA SILVER BLACK:109804C-L</t>
        </is>
      </c>
      <c r="F1706" s="2">
        <v>800109804031</v>
      </c>
      <c r="G1706" s="0" t="inlineStr">
        <is>
          <t>WOMENS</t>
        </is>
      </c>
      <c r="H1706" s="0" t="inlineStr">
        <is>
          <t>L</t>
        </is>
      </c>
      <c r="I1706" s="0">
        <v>34.99</v>
      </c>
      <c r="J1706" s="0">
        <v>56</v>
      </c>
    </row>
    <row r="1707" spans="1:10" customHeight="0">
      <c r="A1707" s="0">
        <f>HYPERLINK("https://dl.dropboxusercontent.com/scl/fi/tris1u3f8f86kyoe5idg8/109804-b.jpg?rlkey=hnco34oeqrqyj11qy8dvghwk9&amp;dl=0","Click to download Image")</f>
      </c>
      <c r="B1707" s="0">
        <f>HYPERLINK("https://dl.dropboxusercontent.com/scl/fi/d1z5nf607hddmmrgcwhwd/womens-t-shirt-size-chartssilver.jpg?rlkey=1n5r9tiqrhcwdreweqd8t70uw&amp;dl=0","Click to download SizeChart")</f>
      </c>
      <c r="C1707" s="0" t="inlineStr">
        <is>
          <t>Silver Women's Long Sleeve Shirt</t>
        </is>
      </c>
      <c r="D1707" s="1">
        <v>109804</v>
      </c>
      <c r="E1707" s="0" t="inlineStr">
        <is>
          <t>IOWA SILVER BLACK:109804D-XL</t>
        </is>
      </c>
      <c r="F1707" s="2">
        <v>800109804048</v>
      </c>
      <c r="G1707" s="0" t="inlineStr">
        <is>
          <t>WOMENS</t>
        </is>
      </c>
      <c r="H1707" s="0" t="inlineStr">
        <is>
          <t>XL</t>
        </is>
      </c>
      <c r="I1707" s="0">
        <v>34.99</v>
      </c>
      <c r="J1707" s="0">
        <v>4</v>
      </c>
    </row>
    <row r="1708" spans="1:10" customHeight="0">
      <c r="A1708" s="0">
        <f>HYPERLINK("https://dl.dropboxusercontent.com/scl/fi/tris1u3f8f86kyoe5idg8/109804-b.jpg?rlkey=hnco34oeqrqyj11qy8dvghwk9&amp;dl=0","Click to download Image")</f>
      </c>
      <c r="B1708" s="0">
        <f>HYPERLINK("https://dl.dropboxusercontent.com/scl/fi/d1z5nf607hddmmrgcwhwd/womens-t-shirt-size-chartssilver.jpg?rlkey=1n5r9tiqrhcwdreweqd8t70uw&amp;dl=0","Click to download SizeChart")</f>
      </c>
      <c r="C1708" s="0" t="inlineStr">
        <is>
          <t>Silver Women's Long Sleeve Shirt</t>
        </is>
      </c>
      <c r="D1708" s="1">
        <v>109804</v>
      </c>
      <c r="E1708" s="0" t="inlineStr">
        <is>
          <t>IOWA SILVER BLACK:109804E-2XL</t>
        </is>
      </c>
      <c r="F1708" s="2">
        <v>800109804055</v>
      </c>
      <c r="G1708" s="0" t="inlineStr">
        <is>
          <t>WOMENS</t>
        </is>
      </c>
      <c r="H1708" s="0" t="inlineStr">
        <is>
          <t>2XL</t>
        </is>
      </c>
      <c r="I1708" s="0">
        <v>36.99</v>
      </c>
      <c r="J1708" s="0">
        <v>4</v>
      </c>
    </row>
    <row r="1709" spans="1:10" customHeight="0">
      <c r="A1709" s="0">
        <f>HYPERLINK("https://dl.dropboxusercontent.com/scl/fi/tris1u3f8f86kyoe5idg8/109804-b.jpg?rlkey=hnco34oeqrqyj11qy8dvghwk9&amp;dl=0","Click to download Image")</f>
      </c>
      <c r="B1709" s="0">
        <f>HYPERLINK("https://dl.dropboxusercontent.com/scl/fi/d1z5nf607hddmmrgcwhwd/womens-t-shirt-size-chartssilver.jpg?rlkey=1n5r9tiqrhcwdreweqd8t70uw&amp;dl=0","Click to download SizeChart")</f>
      </c>
      <c r="C1709" s="0" t="inlineStr">
        <is>
          <t>Silver Women's Long Sleeve Shirt</t>
        </is>
      </c>
      <c r="D1709" s="1">
        <v>109804</v>
      </c>
      <c r="E1709" s="0" t="inlineStr">
        <is>
          <t>IOWA SILVER BLACK:109804F-3XL</t>
        </is>
      </c>
      <c r="F1709" s="2">
        <v>800109804062</v>
      </c>
      <c r="G1709" s="0" t="inlineStr">
        <is>
          <t>WOMENS</t>
        </is>
      </c>
      <c r="H1709" s="0" t="inlineStr">
        <is>
          <t>3XL</t>
        </is>
      </c>
      <c r="I1709" s="0">
        <v>36.99</v>
      </c>
      <c r="J1709" s="0">
        <v>0</v>
      </c>
    </row>
    <row r="1710" spans="1:10" customHeight="0">
      <c r="A1710" s="0">
        <f>HYPERLINK("https://dl.dropboxusercontent.com/scl/fi/tc3xplx71bb2ez3ckg33k/dsc029337535.jpg?rlkey=lszpetkamj95pa6qgcvoipkcu&amp;dl=0","Click to download Image")</f>
      </c>
      <c r="B1710" s="0">
        <f>HYPERLINK("https://dl.dropboxusercontent.com/scl/fi/pfpjttaa2l4me9yswcfn1/8-19youth.jpg?rlkey=8ajj4nl693vlsohb1g47nfi75&amp;dl=0","Click to download SizeChart")</f>
      </c>
      <c r="C1710" s="0" t="inlineStr">
        <is>
          <t>Dekalb Youth Microfleece Pullover</t>
        </is>
      </c>
      <c r="D1710" s="1">
        <v>106754</v>
      </c>
      <c r="E1710" s="0" t="inlineStr">
        <is>
          <t>IA DEKLAB:106754B-YS</t>
        </is>
      </c>
      <c r="F1710" s="2">
        <v>800106754018</v>
      </c>
      <c r="G1710" s="0" t="inlineStr">
        <is>
          <t>YOUTH</t>
        </is>
      </c>
      <c r="H1710" s="0" t="inlineStr">
        <is>
          <t>YS</t>
        </is>
      </c>
      <c r="I1710" s="0">
        <v>42.99</v>
      </c>
      <c r="J1710" s="0">
        <v>38</v>
      </c>
    </row>
    <row r="1711" spans="1:10" customHeight="0">
      <c r="A1711" s="0">
        <f>HYPERLINK("https://dl.dropboxusercontent.com/scl/fi/tc3xplx71bb2ez3ckg33k/dsc029337535.jpg?rlkey=lszpetkamj95pa6qgcvoipkcu&amp;dl=0","Click to download Image")</f>
      </c>
      <c r="B1711" s="0">
        <f>HYPERLINK("https://dl.dropboxusercontent.com/scl/fi/pfpjttaa2l4me9yswcfn1/8-19youth.jpg?rlkey=8ajj4nl693vlsohb1g47nfi75&amp;dl=0","Click to download SizeChart")</f>
      </c>
      <c r="C1711" s="0" t="inlineStr">
        <is>
          <t>Dekalb Youth Microfleece Pullover</t>
        </is>
      </c>
      <c r="D1711" s="1">
        <v>106754</v>
      </c>
      <c r="E1711" s="0" t="inlineStr">
        <is>
          <t>IA DEKLAB:106754C-YM</t>
        </is>
      </c>
      <c r="F1711" s="2">
        <v>800106754025</v>
      </c>
      <c r="G1711" s="0" t="inlineStr">
        <is>
          <t>YOUTH</t>
        </is>
      </c>
      <c r="H1711" s="0" t="inlineStr">
        <is>
          <t>YM</t>
        </is>
      </c>
      <c r="I1711" s="0">
        <v>42.99</v>
      </c>
      <c r="J1711" s="0">
        <v>31</v>
      </c>
    </row>
    <row r="1712" spans="1:10" customHeight="0">
      <c r="A1712" s="0">
        <f>HYPERLINK("https://dl.dropboxusercontent.com/scl/fi/tc3xplx71bb2ez3ckg33k/dsc029337535.jpg?rlkey=lszpetkamj95pa6qgcvoipkcu&amp;dl=0","Click to download Image")</f>
      </c>
      <c r="B1712" s="0">
        <f>HYPERLINK("https://dl.dropboxusercontent.com/scl/fi/pfpjttaa2l4me9yswcfn1/8-19youth.jpg?rlkey=8ajj4nl693vlsohb1g47nfi75&amp;dl=0","Click to download SizeChart")</f>
      </c>
      <c r="C1712" s="0" t="inlineStr">
        <is>
          <t>Dekalb Youth Microfleece Pullover</t>
        </is>
      </c>
      <c r="D1712" s="1">
        <v>106754</v>
      </c>
      <c r="E1712" s="0" t="inlineStr">
        <is>
          <t>IA DEKLAB:106754D-YL</t>
        </is>
      </c>
      <c r="F1712" s="2">
        <v>800106754032</v>
      </c>
      <c r="G1712" s="0" t="inlineStr">
        <is>
          <t>YOUTH</t>
        </is>
      </c>
      <c r="H1712" s="0" t="inlineStr">
        <is>
          <t>YL</t>
        </is>
      </c>
      <c r="I1712" s="0">
        <v>42.99</v>
      </c>
      <c r="J1712" s="0">
        <v>32</v>
      </c>
    </row>
    <row r="1713" spans="1:10" customHeight="0">
      <c r="A1713" s="0">
        <f>HYPERLINK("https://dl.dropboxusercontent.com/scl/fi/tc3xplx71bb2ez3ckg33k/dsc029337535.jpg?rlkey=lszpetkamj95pa6qgcvoipkcu&amp;dl=0","Click to download Image")</f>
      </c>
      <c r="B1713" s="0">
        <f>HYPERLINK("https://dl.dropboxusercontent.com/scl/fi/pfpjttaa2l4me9yswcfn1/8-19youth.jpg?rlkey=8ajj4nl693vlsohb1g47nfi75&amp;dl=0","Click to download SizeChart")</f>
      </c>
      <c r="C1713" s="0" t="inlineStr">
        <is>
          <t>Dekalb Youth Microfleece Pullover</t>
        </is>
      </c>
      <c r="D1713" s="1">
        <v>106754</v>
      </c>
      <c r="E1713" s="0" t="inlineStr">
        <is>
          <t>IA DEKLAB:106754E-YXL</t>
        </is>
      </c>
      <c r="F1713" s="2">
        <v>800106754049</v>
      </c>
      <c r="G1713" s="0" t="inlineStr">
        <is>
          <t>YOUTH</t>
        </is>
      </c>
      <c r="H1713" s="0" t="inlineStr">
        <is>
          <t>YXL</t>
        </is>
      </c>
      <c r="I1713" s="0">
        <v>42.99</v>
      </c>
      <c r="J1713" s="0">
        <v>41</v>
      </c>
    </row>
    <row r="1714" spans="1:10" customHeight="0">
      <c r="A1714" s="0">
        <f>HYPERLINK("https://dl.dropboxusercontent.com/scl/fi/jptjnthp7n8qzr0l3itsx/122566-af.jpg?rlkey=qx5gu5a84khh65kyc6ti8brpf&amp;dl=0","Click to download Image")</f>
      </c>
      <c r="B1714" s="0">
        <f>HYPERLINK("https://dl.dropboxusercontent.com/scl/fi/drt8s2vkea3zio1xl1jsc/2january-20201mens.jpg?rlkey=pctvlhhluvw5piu35eg5v540y&amp;dl=0","Click to download SizeChart")</f>
      </c>
      <c r="C1714" s="0" t="inlineStr">
        <is>
          <t>Gianni Men's Long Sleeve Performance Shirt</t>
        </is>
      </c>
      <c r="D1714" s="1">
        <v>122566</v>
      </c>
      <c r="E1714" s="0" t="inlineStr">
        <is>
          <t>IOWA M GIANN BK:122566A-S</t>
        </is>
      </c>
      <c r="F1714" s="2">
        <v>800122566046</v>
      </c>
      <c r="G1714" s="0" t="inlineStr">
        <is>
          <t>MENS</t>
        </is>
      </c>
      <c r="H1714" s="0" t="inlineStr">
        <is>
          <t>S</t>
        </is>
      </c>
      <c r="I1714" s="0">
        <v>29.98</v>
      </c>
      <c r="J1714" s="0">
        <v>24</v>
      </c>
    </row>
    <row r="1715" spans="1:10" customHeight="0">
      <c r="A1715" s="0">
        <f>HYPERLINK("https://dl.dropboxusercontent.com/scl/fi/jptjnthp7n8qzr0l3itsx/122566-af.jpg?rlkey=qx5gu5a84khh65kyc6ti8brpf&amp;dl=0","Click to download Image")</f>
      </c>
      <c r="B1715" s="0">
        <f>HYPERLINK("https://dl.dropboxusercontent.com/scl/fi/drt8s2vkea3zio1xl1jsc/2january-20201mens.jpg?rlkey=pctvlhhluvw5piu35eg5v540y&amp;dl=0","Click to download SizeChart")</f>
      </c>
      <c r="C1715" s="0" t="inlineStr">
        <is>
          <t>Gianni Men's Long Sleeve Performance Shirt</t>
        </is>
      </c>
      <c r="D1715" s="1">
        <v>122566</v>
      </c>
      <c r="E1715" s="0" t="inlineStr">
        <is>
          <t>IOWA M GIANN BK:122566B-M</t>
        </is>
      </c>
      <c r="F1715" s="2">
        <v>800122566053</v>
      </c>
      <c r="G1715" s="0" t="inlineStr">
        <is>
          <t>MENS</t>
        </is>
      </c>
      <c r="H1715" s="0" t="inlineStr">
        <is>
          <t>M</t>
        </is>
      </c>
      <c r="I1715" s="0">
        <v>29.98</v>
      </c>
      <c r="J1715" s="0">
        <v>61</v>
      </c>
    </row>
    <row r="1716" spans="1:10" customHeight="0">
      <c r="A1716" s="0">
        <f>HYPERLINK("https://dl.dropboxusercontent.com/scl/fi/jptjnthp7n8qzr0l3itsx/122566-af.jpg?rlkey=qx5gu5a84khh65kyc6ti8brpf&amp;dl=0","Click to download Image")</f>
      </c>
      <c r="B1716" s="0">
        <f>HYPERLINK("https://dl.dropboxusercontent.com/scl/fi/drt8s2vkea3zio1xl1jsc/2january-20201mens.jpg?rlkey=pctvlhhluvw5piu35eg5v540y&amp;dl=0","Click to download SizeChart")</f>
      </c>
      <c r="C1716" s="0" t="inlineStr">
        <is>
          <t>Gianni Men's Long Sleeve Performance Shirt</t>
        </is>
      </c>
      <c r="D1716" s="1">
        <v>122566</v>
      </c>
      <c r="E1716" s="0" t="inlineStr">
        <is>
          <t>IOWA M GIANN BK:122566C-L</t>
        </is>
      </c>
      <c r="F1716" s="2">
        <v>800122566060</v>
      </c>
      <c r="G1716" s="0" t="inlineStr">
        <is>
          <t>MENS</t>
        </is>
      </c>
      <c r="H1716" s="0" t="inlineStr">
        <is>
          <t>L</t>
        </is>
      </c>
      <c r="I1716" s="0">
        <v>29.98</v>
      </c>
      <c r="J1716" s="0">
        <v>82</v>
      </c>
    </row>
    <row r="1717" spans="1:10" customHeight="0">
      <c r="A1717" s="0">
        <f>HYPERLINK("https://dl.dropboxusercontent.com/scl/fi/jptjnthp7n8qzr0l3itsx/122566-af.jpg?rlkey=qx5gu5a84khh65kyc6ti8brpf&amp;dl=0","Click to download Image")</f>
      </c>
      <c r="B1717" s="0">
        <f>HYPERLINK("https://dl.dropboxusercontent.com/scl/fi/drt8s2vkea3zio1xl1jsc/2january-20201mens.jpg?rlkey=pctvlhhluvw5piu35eg5v540y&amp;dl=0","Click to download SizeChart")</f>
      </c>
      <c r="C1717" s="0" t="inlineStr">
        <is>
          <t>Gianni Men's Long Sleeve Performance Shirt</t>
        </is>
      </c>
      <c r="D1717" s="1">
        <v>122566</v>
      </c>
      <c r="E1717" s="0" t="inlineStr">
        <is>
          <t>IOWA M GIANN BK:122566D-XL</t>
        </is>
      </c>
      <c r="F1717" s="2">
        <v>800122566077</v>
      </c>
      <c r="G1717" s="0" t="inlineStr">
        <is>
          <t>MENS</t>
        </is>
      </c>
      <c r="H1717" s="0" t="inlineStr">
        <is>
          <t>XL</t>
        </is>
      </c>
      <c r="I1717" s="0">
        <v>29.98</v>
      </c>
      <c r="J1717" s="0">
        <v>88</v>
      </c>
    </row>
    <row r="1718" spans="1:10" customHeight="0">
      <c r="A1718" s="0">
        <f>HYPERLINK("https://dl.dropboxusercontent.com/scl/fi/jptjnthp7n8qzr0l3itsx/122566-af.jpg?rlkey=qx5gu5a84khh65kyc6ti8brpf&amp;dl=0","Click to download Image")</f>
      </c>
      <c r="B1718" s="0">
        <f>HYPERLINK("https://dl.dropboxusercontent.com/scl/fi/drt8s2vkea3zio1xl1jsc/2january-20201mens.jpg?rlkey=pctvlhhluvw5piu35eg5v540y&amp;dl=0","Click to download SizeChart")</f>
      </c>
      <c r="C1718" s="0" t="inlineStr">
        <is>
          <t>Gianni Men's Long Sleeve Performance Shirt</t>
        </is>
      </c>
      <c r="D1718" s="1">
        <v>122566</v>
      </c>
      <c r="E1718" s="0" t="inlineStr">
        <is>
          <t>IOWA M GIANN BK:122566E-2XL</t>
        </is>
      </c>
      <c r="F1718" s="2">
        <v>800122566084</v>
      </c>
      <c r="G1718" s="0" t="inlineStr">
        <is>
          <t>MENS</t>
        </is>
      </c>
      <c r="H1718" s="0" t="inlineStr">
        <is>
          <t>2XL</t>
        </is>
      </c>
      <c r="I1718" s="0">
        <v>29.98</v>
      </c>
      <c r="J1718" s="0">
        <v>57</v>
      </c>
    </row>
    <row r="1719" spans="1:10" customHeight="0">
      <c r="A1719" s="0">
        <f>HYPERLINK("https://dl.dropboxusercontent.com/scl/fi/jptjnthp7n8qzr0l3itsx/122566-af.jpg?rlkey=qx5gu5a84khh65kyc6ti8brpf&amp;dl=0","Click to download Image")</f>
      </c>
      <c r="B1719" s="0">
        <f>HYPERLINK("https://dl.dropboxusercontent.com/scl/fi/drt8s2vkea3zio1xl1jsc/2january-20201mens.jpg?rlkey=pctvlhhluvw5piu35eg5v540y&amp;dl=0","Click to download SizeChart")</f>
      </c>
      <c r="C1719" s="0" t="inlineStr">
        <is>
          <t>Gianni Men's Long Sleeve Performance Shirt</t>
        </is>
      </c>
      <c r="D1719" s="1">
        <v>122566</v>
      </c>
      <c r="E1719" s="0" t="inlineStr">
        <is>
          <t>IOWA M GIANN BK:122566F-3XL</t>
        </is>
      </c>
      <c r="F1719" s="2">
        <v>800122566091</v>
      </c>
      <c r="G1719" s="0" t="inlineStr">
        <is>
          <t>MENS</t>
        </is>
      </c>
      <c r="H1719" s="0" t="inlineStr">
        <is>
          <t>3XL</t>
        </is>
      </c>
      <c r="I1719" s="0">
        <v>29.98</v>
      </c>
      <c r="J1719" s="0">
        <v>31</v>
      </c>
    </row>
    <row r="1720" spans="1:10" customHeight="0">
      <c r="A1720" s="0">
        <f>HYPERLINK("https://dl.dropboxusercontent.com/scl/fi/v92wc7mdc3da3ndelg707/122566-af.jpg?rlkey=vh27wnbkszk763mvt946w46eb&amp;dl=0","Click to download Image")</f>
      </c>
      <c r="B1720" s="0">
        <f>HYPERLINK("https://dl.dropboxusercontent.com/scl/fi/jlk98bnmt2ox2kq5i0ic1/2january-20203youth.jpg?rlkey=nmbws0wvsg1u8pe4l2wgia0gt&amp;dl=0","Click to download SizeChart")</f>
      </c>
      <c r="C1720" s="0" t="inlineStr">
        <is>
          <t>Gianni Youth Long Sleeve Performance Shirt</t>
        </is>
      </c>
      <c r="D1720" s="1">
        <v>122645</v>
      </c>
      <c r="E1720" s="0" t="inlineStr">
        <is>
          <t>IOWA Y GIANN BK:122645B-YS</t>
        </is>
      </c>
      <c r="F1720" s="2">
        <v>800122645017</v>
      </c>
      <c r="G1720" s="0" t="inlineStr">
        <is>
          <t>YOUTH</t>
        </is>
      </c>
      <c r="H1720" s="0" t="inlineStr">
        <is>
          <t>YS</t>
        </is>
      </c>
      <c r="I1720" s="0">
        <v>27.98</v>
      </c>
      <c r="J1720" s="0">
        <v>63</v>
      </c>
    </row>
    <row r="1721" spans="1:10" customHeight="0">
      <c r="A1721" s="0">
        <f>HYPERLINK("https://dl.dropboxusercontent.com/scl/fi/v92wc7mdc3da3ndelg707/122566-af.jpg?rlkey=vh27wnbkszk763mvt946w46eb&amp;dl=0","Click to download Image")</f>
      </c>
      <c r="B1721" s="0">
        <f>HYPERLINK("https://dl.dropboxusercontent.com/scl/fi/jlk98bnmt2ox2kq5i0ic1/2january-20203youth.jpg?rlkey=nmbws0wvsg1u8pe4l2wgia0gt&amp;dl=0","Click to download SizeChart")</f>
      </c>
      <c r="C1721" s="0" t="inlineStr">
        <is>
          <t>Gianni Youth Long Sleeve Performance Shirt</t>
        </is>
      </c>
      <c r="D1721" s="1">
        <v>122645</v>
      </c>
      <c r="E1721" s="0" t="inlineStr">
        <is>
          <t>IOWA Y GIANN BK:122645C-YM</t>
        </is>
      </c>
      <c r="F1721" s="2">
        <v>800122645024</v>
      </c>
      <c r="G1721" s="0" t="inlineStr">
        <is>
          <t>YOUTH</t>
        </is>
      </c>
      <c r="H1721" s="0" t="inlineStr">
        <is>
          <t>YM</t>
        </is>
      </c>
      <c r="I1721" s="0">
        <v>27.98</v>
      </c>
      <c r="J1721" s="0">
        <v>56</v>
      </c>
    </row>
    <row r="1722" spans="1:10" customHeight="0">
      <c r="A1722" s="0">
        <f>HYPERLINK("https://dl.dropboxusercontent.com/scl/fi/v92wc7mdc3da3ndelg707/122566-af.jpg?rlkey=vh27wnbkszk763mvt946w46eb&amp;dl=0","Click to download Image")</f>
      </c>
      <c r="B1722" s="0">
        <f>HYPERLINK("https://dl.dropboxusercontent.com/scl/fi/jlk98bnmt2ox2kq5i0ic1/2january-20203youth.jpg?rlkey=nmbws0wvsg1u8pe4l2wgia0gt&amp;dl=0","Click to download SizeChart")</f>
      </c>
      <c r="C1722" s="0" t="inlineStr">
        <is>
          <t>Gianni Youth Long Sleeve Performance Shirt</t>
        </is>
      </c>
      <c r="D1722" s="1">
        <v>122645</v>
      </c>
      <c r="E1722" s="0" t="inlineStr">
        <is>
          <t>IOWA Y GIANN BK:122645D-YL</t>
        </is>
      </c>
      <c r="F1722" s="2">
        <v>800122645031</v>
      </c>
      <c r="G1722" s="0" t="inlineStr">
        <is>
          <t>YOUTH</t>
        </is>
      </c>
      <c r="H1722" s="0" t="inlineStr">
        <is>
          <t>YL</t>
        </is>
      </c>
      <c r="I1722" s="0">
        <v>27.98</v>
      </c>
      <c r="J1722" s="0">
        <v>59</v>
      </c>
    </row>
    <row r="1723" spans="1:10" customHeight="0">
      <c r="A1723" s="0">
        <f>HYPERLINK("https://dl.dropboxusercontent.com/scl/fi/v92wc7mdc3da3ndelg707/122566-af.jpg?rlkey=vh27wnbkszk763mvt946w46eb&amp;dl=0","Click to download Image")</f>
      </c>
      <c r="B1723" s="0">
        <f>HYPERLINK("https://dl.dropboxusercontent.com/scl/fi/jlk98bnmt2ox2kq5i0ic1/2january-20203youth.jpg?rlkey=nmbws0wvsg1u8pe4l2wgia0gt&amp;dl=0","Click to download SizeChart")</f>
      </c>
      <c r="C1723" s="0" t="inlineStr">
        <is>
          <t>Gianni Youth Long Sleeve Performance Shirt</t>
        </is>
      </c>
      <c r="D1723" s="1">
        <v>122645</v>
      </c>
      <c r="E1723" s="0" t="inlineStr">
        <is>
          <t>IOWA Y GIANN BK:122645E-YXL</t>
        </is>
      </c>
      <c r="F1723" s="2">
        <v>800122645048</v>
      </c>
      <c r="G1723" s="0" t="inlineStr">
        <is>
          <t>YOUTH</t>
        </is>
      </c>
      <c r="H1723" s="0" t="inlineStr">
        <is>
          <t>YXL</t>
        </is>
      </c>
      <c r="I1723" s="0">
        <v>27.98</v>
      </c>
      <c r="J1723" s="0">
        <v>75</v>
      </c>
    </row>
    <row r="1724" spans="1:10" customHeight="0">
      <c r="A1724" s="0">
        <f>HYPERLINK("https://dl.dropboxusercontent.com/scl/fi/bvexn1i4l7sacwhffazmy/107123f2.jpg?rlkey=mb05piakdszeswbf7il2vyey5&amp;dl=0","Click to download Image")</f>
      </c>
      <c r="C1724" s="0" t="inlineStr">
        <is>
          <t>Temple Canvas Weekender Bag</t>
        </is>
      </c>
      <c r="D1724" s="1">
        <v>107123</v>
      </c>
      <c r="E1724" s="0" t="inlineStr">
        <is>
          <t>IOWA TEMPLE:107123</t>
        </is>
      </c>
      <c r="F1724" s="2">
        <v>900107123018</v>
      </c>
      <c r="H1724" s="0" t="inlineStr">
        <is>
          <t>OS</t>
        </is>
      </c>
      <c r="I1724" s="0">
        <v>54.99</v>
      </c>
      <c r="J1724" s="0">
        <v>118</v>
      </c>
    </row>
    <row r="1725" spans="1:10" customHeight="0">
      <c r="A1725" s="0">
        <f>HYPERLINK("https://dl.dropboxusercontent.com/scl/fi/0z5li06njm54w4yg4yzlo/121125-af.jpg?rlkey=xkjh83jhibci38lq4dqe9leiu&amp;dl=0","Click to download Image")</f>
      </c>
      <c r="B1725" s="0">
        <f>HYPERLINK("https://dl.dropboxusercontent.com/scl/fi/5vq9zd4q6avu3uuud4m7k/graphic-update22022-toddler.jpg?rlkey=uqwb8l088kegapui7n4pbzx17&amp;dl=0","Click to download SizeChart")</f>
      </c>
      <c r="C1725" s="0" t="inlineStr">
        <is>
          <t>Meadow Toddler Pullover</t>
        </is>
      </c>
      <c r="D1725" s="1">
        <v>122432</v>
      </c>
      <c r="E1725" s="0" t="inlineStr">
        <is>
          <t>IOWA MEADOW T FB:122432A-2T</t>
        </is>
      </c>
      <c r="F1725" s="2">
        <v>800122432082</v>
      </c>
      <c r="G1725" s="0" t="inlineStr">
        <is>
          <t>TODDLER</t>
        </is>
      </c>
      <c r="H1725" s="0" t="inlineStr">
        <is>
          <t>2T</t>
        </is>
      </c>
      <c r="I1725" s="0">
        <v>49.99</v>
      </c>
      <c r="J1725" s="0">
        <v>16</v>
      </c>
    </row>
    <row r="1726" spans="1:10" customHeight="0">
      <c r="A1726" s="0">
        <f>HYPERLINK("https://dl.dropboxusercontent.com/scl/fi/0z5li06njm54w4yg4yzlo/121125-af.jpg?rlkey=xkjh83jhibci38lq4dqe9leiu&amp;dl=0","Click to download Image")</f>
      </c>
      <c r="B1726" s="0">
        <f>HYPERLINK("https://dl.dropboxusercontent.com/scl/fi/5vq9zd4q6avu3uuud4m7k/graphic-update22022-toddler.jpg?rlkey=uqwb8l088kegapui7n4pbzx17&amp;dl=0","Click to download SizeChart")</f>
      </c>
      <c r="C1726" s="0" t="inlineStr">
        <is>
          <t>Meadow Toddler Pullover</t>
        </is>
      </c>
      <c r="D1726" s="1">
        <v>122432</v>
      </c>
      <c r="E1726" s="0" t="inlineStr">
        <is>
          <t>IOWA MEADOW T FB:122432B-3T</t>
        </is>
      </c>
      <c r="F1726" s="2">
        <v>800122432099</v>
      </c>
      <c r="G1726" s="0" t="inlineStr">
        <is>
          <t>TODDLER</t>
        </is>
      </c>
      <c r="H1726" s="0" t="inlineStr">
        <is>
          <t>3T</t>
        </is>
      </c>
      <c r="I1726" s="0">
        <v>49.99</v>
      </c>
      <c r="J1726" s="0">
        <v>14</v>
      </c>
    </row>
    <row r="1727" spans="1:10" customHeight="0">
      <c r="A1727" s="0">
        <f>HYPERLINK("https://dl.dropboxusercontent.com/scl/fi/0z5li06njm54w4yg4yzlo/121125-af.jpg?rlkey=xkjh83jhibci38lq4dqe9leiu&amp;dl=0","Click to download Image")</f>
      </c>
      <c r="B1727" s="0">
        <f>HYPERLINK("https://dl.dropboxusercontent.com/scl/fi/5vq9zd4q6avu3uuud4m7k/graphic-update22022-toddler.jpg?rlkey=uqwb8l088kegapui7n4pbzx17&amp;dl=0","Click to download SizeChart")</f>
      </c>
      <c r="C1727" s="0" t="inlineStr">
        <is>
          <t>Meadow Toddler Pullover</t>
        </is>
      </c>
      <c r="D1727" s="1">
        <v>122432</v>
      </c>
      <c r="E1727" s="0" t="inlineStr">
        <is>
          <t>IOWA MEADOW T FB:122432C-4T</t>
        </is>
      </c>
      <c r="F1727" s="2">
        <v>800122432105</v>
      </c>
      <c r="G1727" s="0" t="inlineStr">
        <is>
          <t>TODDLER</t>
        </is>
      </c>
      <c r="H1727" s="0" t="inlineStr">
        <is>
          <t>4T</t>
        </is>
      </c>
      <c r="I1727" s="0">
        <v>49.99</v>
      </c>
      <c r="J1727" s="0">
        <v>13</v>
      </c>
    </row>
    <row r="1728" spans="1:10" customHeight="0">
      <c r="A1728" s="0">
        <f>HYPERLINK("https://dl.dropboxusercontent.com/scl/fi/0z5li06njm54w4yg4yzlo/121125-af.jpg?rlkey=xkjh83jhibci38lq4dqe9leiu&amp;dl=0","Click to download Image")</f>
      </c>
      <c r="B1728" s="0">
        <f>HYPERLINK("https://dl.dropboxusercontent.com/scl/fi/5vq9zd4q6avu3uuud4m7k/graphic-update22022-toddler.jpg?rlkey=uqwb8l088kegapui7n4pbzx17&amp;dl=0","Click to download SizeChart")</f>
      </c>
      <c r="C1728" s="0" t="inlineStr">
        <is>
          <t>Meadow Toddler Pullover</t>
        </is>
      </c>
      <c r="D1728" s="1">
        <v>122432</v>
      </c>
      <c r="E1728" s="0" t="inlineStr">
        <is>
          <t>IOWA MEADOW T FB:122432D-5T</t>
        </is>
      </c>
      <c r="F1728" s="2">
        <v>800122432112</v>
      </c>
      <c r="G1728" s="0" t="inlineStr">
        <is>
          <t>TODDLER</t>
        </is>
      </c>
      <c r="H1728" s="0" t="inlineStr">
        <is>
          <t>5T</t>
        </is>
      </c>
      <c r="I1728" s="0">
        <v>49.99</v>
      </c>
      <c r="J1728" s="0">
        <v>23</v>
      </c>
    </row>
    <row r="1729" spans="1:10" customHeight="0">
      <c r="A1729" s="0">
        <f>HYPERLINK("https://dl.dropboxusercontent.com/scl/fi/0z5li06njm54w4yg4yzlo/121125-af.jpg?rlkey=xkjh83jhibci38lq4dqe9leiu&amp;dl=0","Click to download Image")</f>
      </c>
      <c r="B1729" s="0">
        <f>HYPERLINK("https://dl.dropboxusercontent.com/scl/fi/5vq9zd4q6avu3uuud4m7k/graphic-update22022-toddler.jpg?rlkey=uqwb8l088kegapui7n4pbzx17&amp;dl=0","Click to download SizeChart")</f>
      </c>
      <c r="C1729" s="0" t="inlineStr">
        <is>
          <t>Meadow Toddler Pullover</t>
        </is>
      </c>
      <c r="D1729" s="1">
        <v>122432</v>
      </c>
      <c r="E1729" s="0" t="inlineStr">
        <is>
          <t>IOWA MEADOW T FB 12PK:122432Z-12PK</t>
        </is>
      </c>
      <c r="F1729" s="2">
        <v>800122432990</v>
      </c>
      <c r="G1729" s="0" t="inlineStr">
        <is>
          <t>TODDLER</t>
        </is>
      </c>
      <c r="H1729" s="0" t="inlineStr">
        <is>
          <t>12 PACK</t>
        </is>
      </c>
      <c r="I1729" s="0">
        <v>480</v>
      </c>
      <c r="J1729" s="0">
        <v>0</v>
      </c>
    </row>
    <row r="1730" spans="1:10" customHeight="0">
      <c r="A1730" s="0">
        <f>HYPERLINK("https://dl.dropboxusercontent.com/scl/fi/ik2yta89m6b55t6of1uw6/121125-af.jpg?rlkey=7hdpv9ql0gxjzpl72vdnk01zo&amp;dl=0","Click to download Image")</f>
      </c>
      <c r="B1730" s="0">
        <f>HYPERLINK("https://dl.dropboxusercontent.com/scl/fi/280g282h39cto0j5ete0g/graphic-update22022-youth.jpg?rlkey=60l5ozhajgpgzv2udg6jujf8c&amp;dl=0","Click to download SizeChart")</f>
      </c>
      <c r="C1730" s="0" t="inlineStr">
        <is>
          <t>Meadow Youth Pullover</t>
        </is>
      </c>
      <c r="D1730" s="1">
        <v>121125</v>
      </c>
      <c r="E1730" s="0" t="inlineStr">
        <is>
          <t>IOWA MEADOW Y FROSTED BLACK:121125B-YS</t>
        </is>
      </c>
      <c r="F1730" s="2">
        <v>800121125015</v>
      </c>
      <c r="G1730" s="0" t="inlineStr">
        <is>
          <t>YOUTH</t>
        </is>
      </c>
      <c r="H1730" s="0" t="inlineStr">
        <is>
          <t>YS</t>
        </is>
      </c>
      <c r="I1730" s="0">
        <v>49.99</v>
      </c>
      <c r="J1730" s="0">
        <v>6</v>
      </c>
    </row>
    <row r="1731" spans="1:10" customHeight="0">
      <c r="A1731" s="0">
        <f>HYPERLINK("https://dl.dropboxusercontent.com/scl/fi/ik2yta89m6b55t6of1uw6/121125-af.jpg?rlkey=7hdpv9ql0gxjzpl72vdnk01zo&amp;dl=0","Click to download Image")</f>
      </c>
      <c r="B1731" s="0">
        <f>HYPERLINK("https://dl.dropboxusercontent.com/scl/fi/280g282h39cto0j5ete0g/graphic-update22022-youth.jpg?rlkey=60l5ozhajgpgzv2udg6jujf8c&amp;dl=0","Click to download SizeChart")</f>
      </c>
      <c r="C1731" s="0" t="inlineStr">
        <is>
          <t>Meadow Youth Pullover</t>
        </is>
      </c>
      <c r="D1731" s="1">
        <v>121125</v>
      </c>
      <c r="E1731" s="0" t="inlineStr">
        <is>
          <t>IOWA MEADOW Y FROSTED BLACK:121125C-YM</t>
        </is>
      </c>
      <c r="F1731" s="2">
        <v>800121125022</v>
      </c>
      <c r="G1731" s="0" t="inlineStr">
        <is>
          <t>YOUTH</t>
        </is>
      </c>
      <c r="H1731" s="0" t="inlineStr">
        <is>
          <t>YM</t>
        </is>
      </c>
      <c r="I1731" s="0">
        <v>49.99</v>
      </c>
      <c r="J1731" s="0">
        <v>5</v>
      </c>
    </row>
    <row r="1732" spans="1:10" customHeight="0">
      <c r="A1732" s="0">
        <f>HYPERLINK("https://dl.dropboxusercontent.com/scl/fi/ik2yta89m6b55t6of1uw6/121125-af.jpg?rlkey=7hdpv9ql0gxjzpl72vdnk01zo&amp;dl=0","Click to download Image")</f>
      </c>
      <c r="B1732" s="0">
        <f>HYPERLINK("https://dl.dropboxusercontent.com/scl/fi/280g282h39cto0j5ete0g/graphic-update22022-youth.jpg?rlkey=60l5ozhajgpgzv2udg6jujf8c&amp;dl=0","Click to download SizeChart")</f>
      </c>
      <c r="C1732" s="0" t="inlineStr">
        <is>
          <t>Meadow Youth Pullover</t>
        </is>
      </c>
      <c r="D1732" s="1">
        <v>121125</v>
      </c>
      <c r="E1732" s="0" t="inlineStr">
        <is>
          <t>IOWA MEADOW Y FROSTED BLACK:121125D-YL</t>
        </is>
      </c>
      <c r="F1732" s="2">
        <v>800121125039</v>
      </c>
      <c r="G1732" s="0" t="inlineStr">
        <is>
          <t>YOUTH</t>
        </is>
      </c>
      <c r="H1732" s="0" t="inlineStr">
        <is>
          <t>YL</t>
        </is>
      </c>
      <c r="I1732" s="0">
        <v>49.99</v>
      </c>
      <c r="J1732" s="0">
        <v>2</v>
      </c>
    </row>
    <row r="1733" spans="1:10" customHeight="0">
      <c r="A1733" s="0">
        <f>HYPERLINK("https://dl.dropboxusercontent.com/scl/fi/ik2yta89m6b55t6of1uw6/121125-af.jpg?rlkey=7hdpv9ql0gxjzpl72vdnk01zo&amp;dl=0","Click to download Image")</f>
      </c>
      <c r="B1733" s="0">
        <f>HYPERLINK("https://dl.dropboxusercontent.com/scl/fi/280g282h39cto0j5ete0g/graphic-update22022-youth.jpg?rlkey=60l5ozhajgpgzv2udg6jujf8c&amp;dl=0","Click to download SizeChart")</f>
      </c>
      <c r="C1733" s="0" t="inlineStr">
        <is>
          <t>Meadow Youth Pullover</t>
        </is>
      </c>
      <c r="D1733" s="1">
        <v>121125</v>
      </c>
      <c r="E1733" s="0" t="inlineStr">
        <is>
          <t>IOWA MEADOW Y FROSTED BLACK:121125E-YXL</t>
        </is>
      </c>
      <c r="F1733" s="2">
        <v>800121125046</v>
      </c>
      <c r="G1733" s="0" t="inlineStr">
        <is>
          <t>YOUTH</t>
        </is>
      </c>
      <c r="H1733" s="0" t="inlineStr">
        <is>
          <t>YXL</t>
        </is>
      </c>
      <c r="I1733" s="0">
        <v>49.99</v>
      </c>
      <c r="J1733" s="0">
        <v>0</v>
      </c>
    </row>
    <row r="1734" spans="1:10" customHeight="0">
      <c r="A1734" s="0">
        <f>HYPERLINK("https://dl.dropboxusercontent.com/scl/fi/ik2yta89m6b55t6of1uw6/121125-af.jpg?rlkey=7hdpv9ql0gxjzpl72vdnk01zo&amp;dl=0","Click to download Image")</f>
      </c>
      <c r="B1734" s="0">
        <f>HYPERLINK("https://dl.dropboxusercontent.com/scl/fi/280g282h39cto0j5ete0g/graphic-update22022-youth.jpg?rlkey=60l5ozhajgpgzv2udg6jujf8c&amp;dl=0","Click to download SizeChart")</f>
      </c>
      <c r="C1734" s="0" t="inlineStr">
        <is>
          <t>Meadow Youth Pullover</t>
        </is>
      </c>
      <c r="D1734" s="1">
        <v>121125</v>
      </c>
      <c r="E1734" s="0" t="inlineStr">
        <is>
          <t>IOWA MEADOW Y FROSTED BLACK 12 PK:121125Z-12PK</t>
        </is>
      </c>
      <c r="F1734" s="2">
        <v>800121125992</v>
      </c>
      <c r="G1734" s="0" t="inlineStr">
        <is>
          <t>YOUTH</t>
        </is>
      </c>
      <c r="H1734" s="0" t="inlineStr">
        <is>
          <t>12 PACK</t>
        </is>
      </c>
      <c r="I1734" s="0">
        <v>480</v>
      </c>
      <c r="J1734" s="0">
        <v>0</v>
      </c>
    </row>
    <row r="1735" spans="1:10" customHeight="0">
      <c r="A1735" s="0">
        <f>HYPERLINK("https://dl.dropboxusercontent.com/scl/fi/r0xmbord4263ej9lkclf8/108034-af.jpg?rlkey=g7z55pmle0jbcifu330y6rhxx&amp;dl=0","Click to download Image")</f>
      </c>
      <c r="B1735" s="0">
        <f>HYPERLINK("https://dl.dropboxusercontent.com/scl/fi/4bf7v3csjbp5ugwd3seba/womens-t-shirt-size-chartsmahattan.jpg?rlkey=d02nccqsdf44sxte1jpvnshib&amp;dl=0","Click to download SizeChart")</f>
      </c>
      <c r="C1735" s="0" t="inlineStr">
        <is>
          <t>Manhattan Women's Short Sleeve T-Shirt</t>
        </is>
      </c>
      <c r="D1735" s="1">
        <v>108034</v>
      </c>
      <c r="E1735" s="0" t="inlineStr">
        <is>
          <t>IOWA MANHATTAN DK GREY:108034A-S</t>
        </is>
      </c>
      <c r="F1735" s="2">
        <v>800108034019</v>
      </c>
      <c r="G1735" s="0" t="inlineStr">
        <is>
          <t>WOMENS</t>
        </is>
      </c>
      <c r="H1735" s="0" t="inlineStr">
        <is>
          <t>S</t>
        </is>
      </c>
      <c r="I1735" s="0">
        <v>26.99</v>
      </c>
      <c r="J1735" s="0">
        <v>9</v>
      </c>
    </row>
    <row r="1736" spans="1:10" customHeight="0">
      <c r="A1736" s="0">
        <f>HYPERLINK("https://dl.dropboxusercontent.com/scl/fi/r0xmbord4263ej9lkclf8/108034-af.jpg?rlkey=g7z55pmle0jbcifu330y6rhxx&amp;dl=0","Click to download Image")</f>
      </c>
      <c r="B1736" s="0">
        <f>HYPERLINK("https://dl.dropboxusercontent.com/scl/fi/4bf7v3csjbp5ugwd3seba/womens-t-shirt-size-chartsmahattan.jpg?rlkey=d02nccqsdf44sxte1jpvnshib&amp;dl=0","Click to download SizeChart")</f>
      </c>
      <c r="C1736" s="0" t="inlineStr">
        <is>
          <t>Manhattan Women's Short Sleeve T-Shirt</t>
        </is>
      </c>
      <c r="D1736" s="1">
        <v>108034</v>
      </c>
      <c r="E1736" s="0" t="inlineStr">
        <is>
          <t>IOWA MANHATTAN DK GREY:108034B-M</t>
        </is>
      </c>
      <c r="F1736" s="2">
        <v>800108034026</v>
      </c>
      <c r="G1736" s="0" t="inlineStr">
        <is>
          <t>WOMENS</t>
        </is>
      </c>
      <c r="H1736" s="0" t="inlineStr">
        <is>
          <t>M</t>
        </is>
      </c>
      <c r="I1736" s="0">
        <v>26.99</v>
      </c>
      <c r="J1736" s="0">
        <v>18</v>
      </c>
    </row>
    <row r="1737" spans="1:10" customHeight="0">
      <c r="A1737" s="0">
        <f>HYPERLINK("https://dl.dropboxusercontent.com/scl/fi/r0xmbord4263ej9lkclf8/108034-af.jpg?rlkey=g7z55pmle0jbcifu330y6rhxx&amp;dl=0","Click to download Image")</f>
      </c>
      <c r="B1737" s="0">
        <f>HYPERLINK("https://dl.dropboxusercontent.com/scl/fi/4bf7v3csjbp5ugwd3seba/womens-t-shirt-size-chartsmahattan.jpg?rlkey=d02nccqsdf44sxte1jpvnshib&amp;dl=0","Click to download SizeChart")</f>
      </c>
      <c r="C1737" s="0" t="inlineStr">
        <is>
          <t>Manhattan Women's Short Sleeve T-Shirt</t>
        </is>
      </c>
      <c r="D1737" s="1">
        <v>108034</v>
      </c>
      <c r="E1737" s="0" t="inlineStr">
        <is>
          <t>IOWA MANHATTAN DK GREY:108034C-L</t>
        </is>
      </c>
      <c r="F1737" s="2">
        <v>800108034033</v>
      </c>
      <c r="G1737" s="0" t="inlineStr">
        <is>
          <t>WOMENS</t>
        </is>
      </c>
      <c r="H1737" s="0" t="inlineStr">
        <is>
          <t>L</t>
        </is>
      </c>
      <c r="I1737" s="0">
        <v>26.99</v>
      </c>
      <c r="J1737" s="0">
        <v>13</v>
      </c>
    </row>
    <row r="1738" spans="1:10" customHeight="0">
      <c r="A1738" s="0">
        <f>HYPERLINK("https://dl.dropboxusercontent.com/scl/fi/r0xmbord4263ej9lkclf8/108034-af.jpg?rlkey=g7z55pmle0jbcifu330y6rhxx&amp;dl=0","Click to download Image")</f>
      </c>
      <c r="B1738" s="0">
        <f>HYPERLINK("https://dl.dropboxusercontent.com/scl/fi/4bf7v3csjbp5ugwd3seba/womens-t-shirt-size-chartsmahattan.jpg?rlkey=d02nccqsdf44sxte1jpvnshib&amp;dl=0","Click to download SizeChart")</f>
      </c>
      <c r="C1738" s="0" t="inlineStr">
        <is>
          <t>Manhattan Women's Short Sleeve T-Shirt</t>
        </is>
      </c>
      <c r="D1738" s="1">
        <v>108034</v>
      </c>
      <c r="E1738" s="0" t="inlineStr">
        <is>
          <t>IOWA MANHATTAN DK GREY:108034D-XL</t>
        </is>
      </c>
      <c r="F1738" s="2">
        <v>800108034040</v>
      </c>
      <c r="G1738" s="0" t="inlineStr">
        <is>
          <t>WOMENS</t>
        </is>
      </c>
      <c r="H1738" s="0" t="inlineStr">
        <is>
          <t>XL</t>
        </is>
      </c>
      <c r="I1738" s="0">
        <v>26.99</v>
      </c>
      <c r="J1738" s="0">
        <v>0</v>
      </c>
    </row>
    <row r="1739" spans="1:10" customHeight="0">
      <c r="A1739" s="0">
        <f>HYPERLINK("https://dl.dropboxusercontent.com/scl/fi/r0xmbord4263ej9lkclf8/108034-af.jpg?rlkey=g7z55pmle0jbcifu330y6rhxx&amp;dl=0","Click to download Image")</f>
      </c>
      <c r="B1739" s="0">
        <f>HYPERLINK("https://dl.dropboxusercontent.com/scl/fi/4bf7v3csjbp5ugwd3seba/womens-t-shirt-size-chartsmahattan.jpg?rlkey=d02nccqsdf44sxte1jpvnshib&amp;dl=0","Click to download SizeChart")</f>
      </c>
      <c r="C1739" s="0" t="inlineStr">
        <is>
          <t>Manhattan Women's Short Sleeve T-Shirt</t>
        </is>
      </c>
      <c r="D1739" s="1">
        <v>108034</v>
      </c>
      <c r="E1739" s="0" t="inlineStr">
        <is>
          <t>IOWA MANHATTAN DK GREY:108034E-2XL</t>
        </is>
      </c>
      <c r="F1739" s="2">
        <v>800108034057</v>
      </c>
      <c r="G1739" s="0" t="inlineStr">
        <is>
          <t>WOMENS</t>
        </is>
      </c>
      <c r="H1739" s="0" t="inlineStr">
        <is>
          <t>2XL</t>
        </is>
      </c>
      <c r="I1739" s="0">
        <v>26.99</v>
      </c>
      <c r="J1739" s="0">
        <v>0</v>
      </c>
    </row>
    <row r="1740" spans="1:10" customHeight="0">
      <c r="A1740" s="0">
        <f>HYPERLINK("https://dl.dropboxusercontent.com/scl/fi/r0xmbord4263ej9lkclf8/108034-af.jpg?rlkey=g7z55pmle0jbcifu330y6rhxx&amp;dl=0","Click to download Image")</f>
      </c>
      <c r="B1740" s="0">
        <f>HYPERLINK("https://dl.dropboxusercontent.com/scl/fi/4bf7v3csjbp5ugwd3seba/womens-t-shirt-size-chartsmahattan.jpg?rlkey=d02nccqsdf44sxte1jpvnshib&amp;dl=0","Click to download SizeChart")</f>
      </c>
      <c r="C1740" s="0" t="inlineStr">
        <is>
          <t>Manhattan Women's Short Sleeve T-Shirt</t>
        </is>
      </c>
      <c r="D1740" s="1">
        <v>108034</v>
      </c>
      <c r="E1740" s="0" t="inlineStr">
        <is>
          <t>IOWA MANHATTAN DK GREY:108034F-3XL</t>
        </is>
      </c>
      <c r="F1740" s="2">
        <v>800108034064</v>
      </c>
      <c r="G1740" s="0" t="inlineStr">
        <is>
          <t>WOMENS</t>
        </is>
      </c>
      <c r="H1740" s="0" t="inlineStr">
        <is>
          <t>3XL</t>
        </is>
      </c>
      <c r="I1740" s="0">
        <v>26.99</v>
      </c>
      <c r="J1740" s="0">
        <v>0</v>
      </c>
    </row>
    <row r="1741" spans="1:10" customHeight="0">
      <c r="A1741" s="0">
        <f>HYPERLINK("https://dl.dropboxusercontent.com/scl/fi/r0xmbord4263ej9lkclf8/108034-af.jpg?rlkey=g7z55pmle0jbcifu330y6rhxx&amp;dl=0","Click to download Image")</f>
      </c>
      <c r="B1741" s="0">
        <f>HYPERLINK("https://dl.dropboxusercontent.com/scl/fi/4bf7v3csjbp5ugwd3seba/womens-t-shirt-size-chartsmahattan.jpg?rlkey=d02nccqsdf44sxte1jpvnshib&amp;dl=0","Click to download SizeChart")</f>
      </c>
      <c r="C1741" s="0" t="inlineStr">
        <is>
          <t>Manhattan Women's Short Sleeve T-Shirt</t>
        </is>
      </c>
      <c r="D1741" s="1">
        <v>108034</v>
      </c>
      <c r="E1741" s="0" t="inlineStr">
        <is>
          <t>IOWA MANHATTAN DK GREY 12 PACK:108034Z-12PK</t>
        </is>
      </c>
      <c r="F1741" s="2">
        <v>800108034101</v>
      </c>
      <c r="G1741" s="0" t="inlineStr">
        <is>
          <t>WOMENS</t>
        </is>
      </c>
      <c r="H1741" s="0" t="inlineStr">
        <is>
          <t>12 PACK</t>
        </is>
      </c>
      <c r="I1741" s="0">
        <v>299.88</v>
      </c>
      <c r="J1741" s="0">
        <v>0</v>
      </c>
    </row>
    <row r="1742" spans="1:10" customHeight="0">
      <c r="A1742" s="0">
        <f>HYPERLINK("https://dl.dropboxusercontent.com/scl/fi/ihhha6qixkmiqbrieleol/111297-af.jpg?rlkey=ft6h6fcpwafmqbag7l20ddixm&amp;dl=0","Click to download Image")</f>
      </c>
      <c r="B1742" s="0">
        <f>HYPERLINK("https://dl.dropboxusercontent.com/scl/fi/4bf7v3csjbp5ugwd3seba/womens-t-shirt-size-chartsmahattan.jpg?rlkey=d02nccqsdf44sxte1jpvnshib&amp;dl=0","Click to download SizeChart")</f>
      </c>
      <c r="C1742" s="0" t="inlineStr">
        <is>
          <t>Manhattan Women's Short Sleeve T-Shirt</t>
        </is>
      </c>
      <c r="D1742" s="1">
        <v>111297</v>
      </c>
      <c r="E1742" s="0" t="inlineStr">
        <is>
          <t>IOWA MANHATTAN BLACK:111297A-S</t>
        </is>
      </c>
      <c r="F1742" s="2">
        <v>800111297043</v>
      </c>
      <c r="G1742" s="0" t="inlineStr">
        <is>
          <t>WOMENS</t>
        </is>
      </c>
      <c r="H1742" s="0" t="inlineStr">
        <is>
          <t>S</t>
        </is>
      </c>
      <c r="I1742" s="0">
        <v>26.99</v>
      </c>
      <c r="J1742" s="0">
        <v>14</v>
      </c>
    </row>
    <row r="1743" spans="1:10" customHeight="0">
      <c r="A1743" s="0">
        <f>HYPERLINK("https://dl.dropboxusercontent.com/scl/fi/ihhha6qixkmiqbrieleol/111297-af.jpg?rlkey=ft6h6fcpwafmqbag7l20ddixm&amp;dl=0","Click to download Image")</f>
      </c>
      <c r="B1743" s="0">
        <f>HYPERLINK("https://dl.dropboxusercontent.com/scl/fi/4bf7v3csjbp5ugwd3seba/womens-t-shirt-size-chartsmahattan.jpg?rlkey=d02nccqsdf44sxte1jpvnshib&amp;dl=0","Click to download SizeChart")</f>
      </c>
      <c r="C1743" s="0" t="inlineStr">
        <is>
          <t>Manhattan Women's Short Sleeve T-Shirt</t>
        </is>
      </c>
      <c r="D1743" s="1">
        <v>111297</v>
      </c>
      <c r="E1743" s="0" t="inlineStr">
        <is>
          <t>IOWA MANHATTAN BLACK:111297B-M</t>
        </is>
      </c>
      <c r="F1743" s="2">
        <v>800111297050</v>
      </c>
      <c r="G1743" s="0" t="inlineStr">
        <is>
          <t>WOMENS</t>
        </is>
      </c>
      <c r="H1743" s="0" t="inlineStr">
        <is>
          <t>M</t>
        </is>
      </c>
      <c r="I1743" s="0">
        <v>26.99</v>
      </c>
      <c r="J1743" s="0">
        <v>34</v>
      </c>
    </row>
    <row r="1744" spans="1:10" customHeight="0">
      <c r="A1744" s="0">
        <f>HYPERLINK("https://dl.dropboxusercontent.com/scl/fi/ihhha6qixkmiqbrieleol/111297-af.jpg?rlkey=ft6h6fcpwafmqbag7l20ddixm&amp;dl=0","Click to download Image")</f>
      </c>
      <c r="B1744" s="0">
        <f>HYPERLINK("https://dl.dropboxusercontent.com/scl/fi/4bf7v3csjbp5ugwd3seba/womens-t-shirt-size-chartsmahattan.jpg?rlkey=d02nccqsdf44sxte1jpvnshib&amp;dl=0","Click to download SizeChart")</f>
      </c>
      <c r="C1744" s="0" t="inlineStr">
        <is>
          <t>Manhattan Women's Short Sleeve T-Shirt</t>
        </is>
      </c>
      <c r="D1744" s="1">
        <v>111297</v>
      </c>
      <c r="E1744" s="0" t="inlineStr">
        <is>
          <t>IOWA MANHATTAN BLACK:111297C-L</t>
        </is>
      </c>
      <c r="F1744" s="2">
        <v>800111297067</v>
      </c>
      <c r="G1744" s="0" t="inlineStr">
        <is>
          <t>WOMENS</t>
        </is>
      </c>
      <c r="H1744" s="0" t="inlineStr">
        <is>
          <t>L</t>
        </is>
      </c>
      <c r="I1744" s="0">
        <v>26.99</v>
      </c>
      <c r="J1744" s="0">
        <v>34</v>
      </c>
    </row>
    <row r="1745" spans="1:10" customHeight="0">
      <c r="A1745" s="0">
        <f>HYPERLINK("https://dl.dropboxusercontent.com/scl/fi/ihhha6qixkmiqbrieleol/111297-af.jpg?rlkey=ft6h6fcpwafmqbag7l20ddixm&amp;dl=0","Click to download Image")</f>
      </c>
      <c r="B1745" s="0">
        <f>HYPERLINK("https://dl.dropboxusercontent.com/scl/fi/4bf7v3csjbp5ugwd3seba/womens-t-shirt-size-chartsmahattan.jpg?rlkey=d02nccqsdf44sxte1jpvnshib&amp;dl=0","Click to download SizeChart")</f>
      </c>
      <c r="C1745" s="0" t="inlineStr">
        <is>
          <t>Manhattan Women's Short Sleeve T-Shirt</t>
        </is>
      </c>
      <c r="D1745" s="1">
        <v>111297</v>
      </c>
      <c r="E1745" s="0" t="inlineStr">
        <is>
          <t>IOWA MANHATTAN BLACK:111297D-XL</t>
        </is>
      </c>
      <c r="F1745" s="2">
        <v>800111297074</v>
      </c>
      <c r="G1745" s="0" t="inlineStr">
        <is>
          <t>WOMENS</t>
        </is>
      </c>
      <c r="H1745" s="0" t="inlineStr">
        <is>
          <t>XL</t>
        </is>
      </c>
      <c r="I1745" s="0">
        <v>26.99</v>
      </c>
      <c r="J1745" s="0">
        <v>15</v>
      </c>
    </row>
    <row r="1746" spans="1:10" customHeight="0">
      <c r="A1746" s="0">
        <f>HYPERLINK("https://dl.dropboxusercontent.com/scl/fi/ihhha6qixkmiqbrieleol/111297-af.jpg?rlkey=ft6h6fcpwafmqbag7l20ddixm&amp;dl=0","Click to download Image")</f>
      </c>
      <c r="B1746" s="0">
        <f>HYPERLINK("https://dl.dropboxusercontent.com/scl/fi/4bf7v3csjbp5ugwd3seba/womens-t-shirt-size-chartsmahattan.jpg?rlkey=d02nccqsdf44sxte1jpvnshib&amp;dl=0","Click to download SizeChart")</f>
      </c>
      <c r="C1746" s="0" t="inlineStr">
        <is>
          <t>Manhattan Women's Short Sleeve T-Shirt</t>
        </is>
      </c>
      <c r="D1746" s="1">
        <v>111297</v>
      </c>
      <c r="E1746" s="0" t="inlineStr">
        <is>
          <t>IOWA MANHATTAN BLACK:111297E-2XL</t>
        </is>
      </c>
      <c r="F1746" s="2">
        <v>800111297081</v>
      </c>
      <c r="G1746" s="0" t="inlineStr">
        <is>
          <t>WOMENS</t>
        </is>
      </c>
      <c r="H1746" s="0" t="inlineStr">
        <is>
          <t>2XL</t>
        </is>
      </c>
      <c r="I1746" s="0">
        <v>26.99</v>
      </c>
      <c r="J1746" s="0">
        <v>0</v>
      </c>
    </row>
    <row r="1747" spans="1:10" customHeight="0">
      <c r="A1747" s="0">
        <f>HYPERLINK("https://dl.dropboxusercontent.com/scl/fi/ihhha6qixkmiqbrieleol/111297-af.jpg?rlkey=ft6h6fcpwafmqbag7l20ddixm&amp;dl=0","Click to download Image")</f>
      </c>
      <c r="B1747" s="0">
        <f>HYPERLINK("https://dl.dropboxusercontent.com/scl/fi/4bf7v3csjbp5ugwd3seba/womens-t-shirt-size-chartsmahattan.jpg?rlkey=d02nccqsdf44sxte1jpvnshib&amp;dl=0","Click to download SizeChart")</f>
      </c>
      <c r="C1747" s="0" t="inlineStr">
        <is>
          <t>Manhattan Women's Short Sleeve T-Shirt</t>
        </is>
      </c>
      <c r="D1747" s="1">
        <v>111297</v>
      </c>
      <c r="E1747" s="0" t="inlineStr">
        <is>
          <t>IOWA MANHATTAN BLACK:111297F-3XL</t>
        </is>
      </c>
      <c r="F1747" s="2">
        <v>800111297098</v>
      </c>
      <c r="G1747" s="0" t="inlineStr">
        <is>
          <t>WOMENS</t>
        </is>
      </c>
      <c r="H1747" s="0" t="inlineStr">
        <is>
          <t>3XL</t>
        </is>
      </c>
      <c r="I1747" s="0">
        <v>26.99</v>
      </c>
      <c r="J1747" s="0">
        <v>0</v>
      </c>
    </row>
    <row r="1748" spans="1:10" customHeight="0">
      <c r="A1748" s="0">
        <f>HYPERLINK("https://dl.dropboxusercontent.com/scl/fi/ihhha6qixkmiqbrieleol/111297-af.jpg?rlkey=ft6h6fcpwafmqbag7l20ddixm&amp;dl=0","Click to download Image")</f>
      </c>
      <c r="B1748" s="0">
        <f>HYPERLINK("https://dl.dropboxusercontent.com/scl/fi/4bf7v3csjbp5ugwd3seba/womens-t-shirt-size-chartsmahattan.jpg?rlkey=d02nccqsdf44sxte1jpvnshib&amp;dl=0","Click to download SizeChart")</f>
      </c>
      <c r="C1748" s="0" t="inlineStr">
        <is>
          <t>Manhattan Women's Short Sleeve T-Shirt</t>
        </is>
      </c>
      <c r="D1748" s="1">
        <v>111297</v>
      </c>
      <c r="E1748" s="0" t="inlineStr">
        <is>
          <t>IOWA MANHATTAN BLACK 12 PACK:111297Z-12PK</t>
        </is>
      </c>
      <c r="F1748" s="2">
        <v>800111297999</v>
      </c>
      <c r="G1748" s="0" t="inlineStr">
        <is>
          <t>WOMENS</t>
        </is>
      </c>
      <c r="H1748" s="0" t="inlineStr">
        <is>
          <t>12 PACK</t>
        </is>
      </c>
      <c r="I1748" s="0">
        <v>299.88</v>
      </c>
      <c r="J1748" s="0">
        <v>0</v>
      </c>
    </row>
    <row r="1749" spans="1:10" customHeight="0">
      <c r="A1749" s="0">
        <f>HYPERLINK("https://dl.dropboxusercontent.com/scl/fi/vmgaqwrfzasl5bg4ieh3v/109604-af.jpg?rlkey=igib3qk9kr07i0t75sdj4sum4&amp;dl=0","Click to download Image")</f>
      </c>
      <c r="B1749" s="0">
        <f>HYPERLINK("https://dl.dropboxusercontent.com/scl/fi/p9ex27uhbcv8opwetbjl0/womens-hoodie-and-sweatshirt-size-chartscarina.jpg?rlkey=uoaueie2g3aqyxsg6xourr8rm&amp;dl=0","Click to download SizeChart")</f>
      </c>
      <c r="C1749" s="0" t="inlineStr">
        <is>
          <t>Carina Women's Full Zip Hoodie</t>
        </is>
      </c>
      <c r="D1749" s="1">
        <v>109604</v>
      </c>
      <c r="E1749" s="0" t="inlineStr">
        <is>
          <t>IOWA CARINA BLACK:109604A-S</t>
        </is>
      </c>
      <c r="F1749" s="2">
        <v>800109604044</v>
      </c>
      <c r="G1749" s="0" t="inlineStr">
        <is>
          <t>WOMENS</t>
        </is>
      </c>
      <c r="H1749" s="0" t="inlineStr">
        <is>
          <t>S</t>
        </is>
      </c>
      <c r="I1749" s="0">
        <v>44.99</v>
      </c>
      <c r="J1749" s="0">
        <v>15</v>
      </c>
    </row>
    <row r="1750" spans="1:10" customHeight="0">
      <c r="A1750" s="0">
        <f>HYPERLINK("https://dl.dropboxusercontent.com/scl/fi/vmgaqwrfzasl5bg4ieh3v/109604-af.jpg?rlkey=igib3qk9kr07i0t75sdj4sum4&amp;dl=0","Click to download Image")</f>
      </c>
      <c r="B1750" s="0">
        <f>HYPERLINK("https://dl.dropboxusercontent.com/scl/fi/p9ex27uhbcv8opwetbjl0/womens-hoodie-and-sweatshirt-size-chartscarina.jpg?rlkey=uoaueie2g3aqyxsg6xourr8rm&amp;dl=0","Click to download SizeChart")</f>
      </c>
      <c r="C1750" s="0" t="inlineStr">
        <is>
          <t>Carina Women's Full Zip Hoodie</t>
        </is>
      </c>
      <c r="D1750" s="1">
        <v>109604</v>
      </c>
      <c r="E1750" s="0" t="inlineStr">
        <is>
          <t>IOWA CARINA BLACK:109604B-M</t>
        </is>
      </c>
      <c r="F1750" s="2">
        <v>800109604051</v>
      </c>
      <c r="G1750" s="0" t="inlineStr">
        <is>
          <t>WOMENS</t>
        </is>
      </c>
      <c r="H1750" s="0" t="inlineStr">
        <is>
          <t>M</t>
        </is>
      </c>
      <c r="I1750" s="0">
        <v>44.99</v>
      </c>
      <c r="J1750" s="0">
        <v>27</v>
      </c>
    </row>
    <row r="1751" spans="1:10" customHeight="0">
      <c r="A1751" s="0">
        <f>HYPERLINK("https://dl.dropboxusercontent.com/scl/fi/vmgaqwrfzasl5bg4ieh3v/109604-af.jpg?rlkey=igib3qk9kr07i0t75sdj4sum4&amp;dl=0","Click to download Image")</f>
      </c>
      <c r="B1751" s="0">
        <f>HYPERLINK("https://dl.dropboxusercontent.com/scl/fi/p9ex27uhbcv8opwetbjl0/womens-hoodie-and-sweatshirt-size-chartscarina.jpg?rlkey=uoaueie2g3aqyxsg6xourr8rm&amp;dl=0","Click to download SizeChart")</f>
      </c>
      <c r="C1751" s="0" t="inlineStr">
        <is>
          <t>Carina Women's Full Zip Hoodie</t>
        </is>
      </c>
      <c r="D1751" s="1">
        <v>109604</v>
      </c>
      <c r="E1751" s="0" t="inlineStr">
        <is>
          <t>IOWA CARINA BLACK:109604C-L</t>
        </is>
      </c>
      <c r="F1751" s="2">
        <v>800109604068</v>
      </c>
      <c r="G1751" s="0" t="inlineStr">
        <is>
          <t>WOMENS</t>
        </is>
      </c>
      <c r="H1751" s="0" t="inlineStr">
        <is>
          <t>L</t>
        </is>
      </c>
      <c r="I1751" s="0">
        <v>44.99</v>
      </c>
      <c r="J1751" s="0">
        <v>24</v>
      </c>
    </row>
    <row r="1752" spans="1:10" customHeight="0">
      <c r="A1752" s="0">
        <f>HYPERLINK("https://dl.dropboxusercontent.com/scl/fi/vmgaqwrfzasl5bg4ieh3v/109604-af.jpg?rlkey=igib3qk9kr07i0t75sdj4sum4&amp;dl=0","Click to download Image")</f>
      </c>
      <c r="B1752" s="0">
        <f>HYPERLINK("https://dl.dropboxusercontent.com/scl/fi/p9ex27uhbcv8opwetbjl0/womens-hoodie-and-sweatshirt-size-chartscarina.jpg?rlkey=uoaueie2g3aqyxsg6xourr8rm&amp;dl=0","Click to download SizeChart")</f>
      </c>
      <c r="C1752" s="0" t="inlineStr">
        <is>
          <t>Carina Women's Full Zip Hoodie</t>
        </is>
      </c>
      <c r="D1752" s="1">
        <v>109604</v>
      </c>
      <c r="E1752" s="0" t="inlineStr">
        <is>
          <t>IOWA CARINA BLACK:109604D-XL</t>
        </is>
      </c>
      <c r="F1752" s="2">
        <v>800109604075</v>
      </c>
      <c r="G1752" s="0" t="inlineStr">
        <is>
          <t>WOMENS</t>
        </is>
      </c>
      <c r="H1752" s="0" t="inlineStr">
        <is>
          <t>XL</t>
        </is>
      </c>
      <c r="I1752" s="0">
        <v>44.99</v>
      </c>
      <c r="J1752" s="0">
        <v>0</v>
      </c>
    </row>
    <row r="1753" spans="1:10" customHeight="0">
      <c r="A1753" s="0">
        <f>HYPERLINK("https://dl.dropboxusercontent.com/scl/fi/vmgaqwrfzasl5bg4ieh3v/109604-af.jpg?rlkey=igib3qk9kr07i0t75sdj4sum4&amp;dl=0","Click to download Image")</f>
      </c>
      <c r="B1753" s="0">
        <f>HYPERLINK("https://dl.dropboxusercontent.com/scl/fi/p9ex27uhbcv8opwetbjl0/womens-hoodie-and-sweatshirt-size-chartscarina.jpg?rlkey=uoaueie2g3aqyxsg6xourr8rm&amp;dl=0","Click to download SizeChart")</f>
      </c>
      <c r="C1753" s="0" t="inlineStr">
        <is>
          <t>Carina Women's Full Zip Hoodie</t>
        </is>
      </c>
      <c r="D1753" s="1">
        <v>109604</v>
      </c>
      <c r="E1753" s="0" t="inlineStr">
        <is>
          <t>IOWA CARINA BLACK:109604E-2XL</t>
        </is>
      </c>
      <c r="F1753" s="2">
        <v>800109604082</v>
      </c>
      <c r="G1753" s="0" t="inlineStr">
        <is>
          <t>WOMENS</t>
        </is>
      </c>
      <c r="H1753" s="0" t="inlineStr">
        <is>
          <t>2XL</t>
        </is>
      </c>
      <c r="I1753" s="0">
        <v>46.99</v>
      </c>
      <c r="J1753" s="0">
        <v>0</v>
      </c>
    </row>
    <row r="1754" spans="1:10" customHeight="0">
      <c r="A1754" s="0">
        <f>HYPERLINK("https://dl.dropboxusercontent.com/scl/fi/vmgaqwrfzasl5bg4ieh3v/109604-af.jpg?rlkey=igib3qk9kr07i0t75sdj4sum4&amp;dl=0","Click to download Image")</f>
      </c>
      <c r="B1754" s="0">
        <f>HYPERLINK("https://dl.dropboxusercontent.com/scl/fi/p9ex27uhbcv8opwetbjl0/womens-hoodie-and-sweatshirt-size-chartscarina.jpg?rlkey=uoaueie2g3aqyxsg6xourr8rm&amp;dl=0","Click to download SizeChart")</f>
      </c>
      <c r="C1754" s="0" t="inlineStr">
        <is>
          <t>Carina Women's Full Zip Hoodie</t>
        </is>
      </c>
      <c r="D1754" s="1">
        <v>109604</v>
      </c>
      <c r="E1754" s="0" t="inlineStr">
        <is>
          <t>IOWA CARINA BLACK:109604F-3XL</t>
        </is>
      </c>
      <c r="F1754" s="2">
        <v>800109604099</v>
      </c>
      <c r="G1754" s="0" t="inlineStr">
        <is>
          <t>WOMENS</t>
        </is>
      </c>
      <c r="H1754" s="0" t="inlineStr">
        <is>
          <t>3XL</t>
        </is>
      </c>
      <c r="I1754" s="0">
        <v>46.99</v>
      </c>
      <c r="J1754" s="0">
        <v>0</v>
      </c>
    </row>
    <row r="1755" spans="1:10" customHeight="0">
      <c r="A1755" s="0">
        <f>HYPERLINK("https://dl.dropboxusercontent.com/scl/fi/vmgaqwrfzasl5bg4ieh3v/109604-af.jpg?rlkey=igib3qk9kr07i0t75sdj4sum4&amp;dl=0","Click to download Image")</f>
      </c>
      <c r="B1755" s="0">
        <f>HYPERLINK("https://dl.dropboxusercontent.com/scl/fi/p9ex27uhbcv8opwetbjl0/womens-hoodie-and-sweatshirt-size-chartscarina.jpg?rlkey=uoaueie2g3aqyxsg6xourr8rm&amp;dl=0","Click to download SizeChart")</f>
      </c>
      <c r="C1755" s="0" t="inlineStr">
        <is>
          <t>Carina Women's Full Zip Hoodie</t>
        </is>
      </c>
      <c r="D1755" s="1">
        <v>109604</v>
      </c>
      <c r="E1755" s="0" t="inlineStr">
        <is>
          <t>IOWA CARINA BLACK 12 PACK:109604Z-12PK</t>
        </is>
      </c>
      <c r="F1755" s="2">
        <v>800109604990</v>
      </c>
      <c r="G1755" s="0" t="inlineStr">
        <is>
          <t>WOMENS</t>
        </is>
      </c>
      <c r="H1755" s="0" t="inlineStr">
        <is>
          <t>12 PACK</t>
        </is>
      </c>
      <c r="I1755" s="0">
        <v>515.88</v>
      </c>
      <c r="J1755" s="0">
        <v>0</v>
      </c>
    </row>
    <row r="1756" spans="1:10" customHeight="0">
      <c r="A1756" s="0">
        <f>HYPERLINK("https://dl.dropboxusercontent.com/scl/fi/u8z286p92v5jb04t9imkw/111279-af.jpg?rlkey=8qd36ltgwjap3wfh9by1dtk9q&amp;dl=0","Click to download Image")</f>
      </c>
      <c r="B1756" s="0">
        <f>HYPERLINK("https://dl.dropboxusercontent.com/scl/fi/p9ex27uhbcv8opwetbjl0/womens-hoodie-and-sweatshirt-size-chartscarina.jpg?rlkey=uoaueie2g3aqyxsg6xourr8rm&amp;dl=0","Click to download SizeChart")</f>
      </c>
      <c r="C1756" s="0" t="inlineStr">
        <is>
          <t>Carina Women's Full Zip Hoodie</t>
        </is>
      </c>
      <c r="D1756" s="1">
        <v>111279</v>
      </c>
      <c r="E1756" s="0" t="inlineStr">
        <is>
          <t>IOWA CARINA GREY:111279A-S</t>
        </is>
      </c>
      <c r="F1756" s="2">
        <v>800111279049</v>
      </c>
      <c r="G1756" s="0" t="inlineStr">
        <is>
          <t>WOMENS</t>
        </is>
      </c>
      <c r="H1756" s="0" t="inlineStr">
        <is>
          <t>S</t>
        </is>
      </c>
      <c r="I1756" s="0">
        <v>44.99</v>
      </c>
      <c r="J1756" s="0">
        <v>13</v>
      </c>
    </row>
    <row r="1757" spans="1:10" customHeight="0">
      <c r="A1757" s="0">
        <f>HYPERLINK("https://dl.dropboxusercontent.com/scl/fi/u8z286p92v5jb04t9imkw/111279-af.jpg?rlkey=8qd36ltgwjap3wfh9by1dtk9q&amp;dl=0","Click to download Image")</f>
      </c>
      <c r="B1757" s="0">
        <f>HYPERLINK("https://dl.dropboxusercontent.com/scl/fi/p9ex27uhbcv8opwetbjl0/womens-hoodie-and-sweatshirt-size-chartscarina.jpg?rlkey=uoaueie2g3aqyxsg6xourr8rm&amp;dl=0","Click to download SizeChart")</f>
      </c>
      <c r="C1757" s="0" t="inlineStr">
        <is>
          <t>Carina Women's Full Zip Hoodie</t>
        </is>
      </c>
      <c r="D1757" s="1">
        <v>111279</v>
      </c>
      <c r="E1757" s="0" t="inlineStr">
        <is>
          <t>IOWA CARINA GREY:111279B-M</t>
        </is>
      </c>
      <c r="F1757" s="2">
        <v>800111279056</v>
      </c>
      <c r="G1757" s="0" t="inlineStr">
        <is>
          <t>WOMENS</t>
        </is>
      </c>
      <c r="H1757" s="0" t="inlineStr">
        <is>
          <t>M</t>
        </is>
      </c>
      <c r="I1757" s="0">
        <v>44.99</v>
      </c>
      <c r="J1757" s="0">
        <v>24</v>
      </c>
    </row>
    <row r="1758" spans="1:10" customHeight="0">
      <c r="A1758" s="0">
        <f>HYPERLINK("https://dl.dropboxusercontent.com/scl/fi/u8z286p92v5jb04t9imkw/111279-af.jpg?rlkey=8qd36ltgwjap3wfh9by1dtk9q&amp;dl=0","Click to download Image")</f>
      </c>
      <c r="B1758" s="0">
        <f>HYPERLINK("https://dl.dropboxusercontent.com/scl/fi/p9ex27uhbcv8opwetbjl0/womens-hoodie-and-sweatshirt-size-chartscarina.jpg?rlkey=uoaueie2g3aqyxsg6xourr8rm&amp;dl=0","Click to download SizeChart")</f>
      </c>
      <c r="C1758" s="0" t="inlineStr">
        <is>
          <t>Carina Women's Full Zip Hoodie</t>
        </is>
      </c>
      <c r="D1758" s="1">
        <v>111279</v>
      </c>
      <c r="E1758" s="0" t="inlineStr">
        <is>
          <t>IOWA CARINA GREY:111279C-L</t>
        </is>
      </c>
      <c r="F1758" s="2">
        <v>800111279063</v>
      </c>
      <c r="G1758" s="0" t="inlineStr">
        <is>
          <t>WOMENS</t>
        </is>
      </c>
      <c r="H1758" s="0" t="inlineStr">
        <is>
          <t>L</t>
        </is>
      </c>
      <c r="I1758" s="0">
        <v>44.99</v>
      </c>
      <c r="J1758" s="0">
        <v>24</v>
      </c>
    </row>
    <row r="1759" spans="1:10" customHeight="0">
      <c r="A1759" s="0">
        <f>HYPERLINK("https://dl.dropboxusercontent.com/scl/fi/u8z286p92v5jb04t9imkw/111279-af.jpg?rlkey=8qd36ltgwjap3wfh9by1dtk9q&amp;dl=0","Click to download Image")</f>
      </c>
      <c r="B1759" s="0">
        <f>HYPERLINK("https://dl.dropboxusercontent.com/scl/fi/p9ex27uhbcv8opwetbjl0/womens-hoodie-and-sweatshirt-size-chartscarina.jpg?rlkey=uoaueie2g3aqyxsg6xourr8rm&amp;dl=0","Click to download SizeChart")</f>
      </c>
      <c r="C1759" s="0" t="inlineStr">
        <is>
          <t>Carina Women's Full Zip Hoodie</t>
        </is>
      </c>
      <c r="D1759" s="1">
        <v>111279</v>
      </c>
      <c r="E1759" s="0" t="inlineStr">
        <is>
          <t>IOWA CARINA GREY:111279D-XL</t>
        </is>
      </c>
      <c r="F1759" s="2">
        <v>800111279070</v>
      </c>
      <c r="G1759" s="0" t="inlineStr">
        <is>
          <t>WOMENS</t>
        </is>
      </c>
      <c r="H1759" s="0" t="inlineStr">
        <is>
          <t>XL</t>
        </is>
      </c>
      <c r="I1759" s="0">
        <v>44.99</v>
      </c>
      <c r="J1759" s="0">
        <v>0</v>
      </c>
    </row>
    <row r="1760" spans="1:10" customHeight="0">
      <c r="A1760" s="0">
        <f>HYPERLINK("https://dl.dropboxusercontent.com/scl/fi/u8z286p92v5jb04t9imkw/111279-af.jpg?rlkey=8qd36ltgwjap3wfh9by1dtk9q&amp;dl=0","Click to download Image")</f>
      </c>
      <c r="B1760" s="0">
        <f>HYPERLINK("https://dl.dropboxusercontent.com/scl/fi/p9ex27uhbcv8opwetbjl0/womens-hoodie-and-sweatshirt-size-chartscarina.jpg?rlkey=uoaueie2g3aqyxsg6xourr8rm&amp;dl=0","Click to download SizeChart")</f>
      </c>
      <c r="C1760" s="0" t="inlineStr">
        <is>
          <t>Carina Women's Full Zip Hoodie</t>
        </is>
      </c>
      <c r="D1760" s="1">
        <v>111279</v>
      </c>
      <c r="E1760" s="0" t="inlineStr">
        <is>
          <t>IOWA CARINA GREY:111279E-2XL</t>
        </is>
      </c>
      <c r="F1760" s="2">
        <v>800111279087</v>
      </c>
      <c r="G1760" s="0" t="inlineStr">
        <is>
          <t>WOMENS</t>
        </is>
      </c>
      <c r="H1760" s="0" t="inlineStr">
        <is>
          <t>2XL</t>
        </is>
      </c>
      <c r="I1760" s="0">
        <v>46.99</v>
      </c>
      <c r="J1760" s="0">
        <v>0</v>
      </c>
    </row>
    <row r="1761" spans="1:10" customHeight="0">
      <c r="A1761" s="0">
        <f>HYPERLINK("https://dl.dropboxusercontent.com/scl/fi/u8z286p92v5jb04t9imkw/111279-af.jpg?rlkey=8qd36ltgwjap3wfh9by1dtk9q&amp;dl=0","Click to download Image")</f>
      </c>
      <c r="B1761" s="0">
        <f>HYPERLINK("https://dl.dropboxusercontent.com/scl/fi/p9ex27uhbcv8opwetbjl0/womens-hoodie-and-sweatshirt-size-chartscarina.jpg?rlkey=uoaueie2g3aqyxsg6xourr8rm&amp;dl=0","Click to download SizeChart")</f>
      </c>
      <c r="C1761" s="0" t="inlineStr">
        <is>
          <t>Carina Women's Full Zip Hoodie</t>
        </is>
      </c>
      <c r="D1761" s="1">
        <v>111279</v>
      </c>
      <c r="E1761" s="0" t="inlineStr">
        <is>
          <t>IOWA CARINA GREY:111279F-3XL</t>
        </is>
      </c>
      <c r="F1761" s="2">
        <v>800111279094</v>
      </c>
      <c r="G1761" s="0" t="inlineStr">
        <is>
          <t>WOMENS</t>
        </is>
      </c>
      <c r="H1761" s="0" t="inlineStr">
        <is>
          <t>3XL</t>
        </is>
      </c>
      <c r="I1761" s="0">
        <v>46.99</v>
      </c>
      <c r="J1761" s="0">
        <v>0</v>
      </c>
    </row>
    <row r="1762" spans="1:10" customHeight="0">
      <c r="A1762" s="0">
        <f>HYPERLINK("https://dl.dropboxusercontent.com/scl/fi/u8z286p92v5jb04t9imkw/111279-af.jpg?rlkey=8qd36ltgwjap3wfh9by1dtk9q&amp;dl=0","Click to download Image")</f>
      </c>
      <c r="B1762" s="0">
        <f>HYPERLINK("https://dl.dropboxusercontent.com/scl/fi/p9ex27uhbcv8opwetbjl0/womens-hoodie-and-sweatshirt-size-chartscarina.jpg?rlkey=uoaueie2g3aqyxsg6xourr8rm&amp;dl=0","Click to download SizeChart")</f>
      </c>
      <c r="C1762" s="0" t="inlineStr">
        <is>
          <t>Carina Women's Full Zip Hoodie</t>
        </is>
      </c>
      <c r="D1762" s="1">
        <v>111279</v>
      </c>
      <c r="E1762" s="0" t="inlineStr">
        <is>
          <t>IOWA CARINA GREY 12 PACK:111279Z-12PK</t>
        </is>
      </c>
      <c r="F1762" s="2">
        <v>800111279995</v>
      </c>
      <c r="G1762" s="0" t="inlineStr">
        <is>
          <t>WOMENS</t>
        </is>
      </c>
      <c r="H1762" s="0" t="inlineStr">
        <is>
          <t>12 PACK</t>
        </is>
      </c>
      <c r="I1762" s="0">
        <v>515.88</v>
      </c>
      <c r="J1762" s="0">
        <v>0</v>
      </c>
    </row>
    <row r="1763" spans="1:10" customHeight="0">
      <c r="A1763" s="0">
        <f>HYPERLINK("https://dl.dropboxusercontent.com/scl/fi/upclxgwvbt4zqq2vcd21l/123136-f.jpg?rlkey=p1w7kd7rdigb88vzp5j8uu9dp&amp;dl=0","Click to download Image")</f>
      </c>
      <c r="C1763" s="0" t="inlineStr">
        <is>
          <t>Luma Toddler Hoodie</t>
        </is>
      </c>
      <c r="D1763" s="1">
        <v>123139</v>
      </c>
      <c r="E1763" s="0" t="inlineStr">
        <is>
          <t>IOWA LUMA T BK:123139A-2T</t>
        </is>
      </c>
      <c r="F1763" s="2">
        <v>800123139089</v>
      </c>
      <c r="G1763" s="0" t="inlineStr">
        <is>
          <t>TODDLER</t>
        </is>
      </c>
      <c r="H1763" s="0" t="inlineStr">
        <is>
          <t>2T</t>
        </is>
      </c>
      <c r="I1763" s="0">
        <v>49.99</v>
      </c>
      <c r="J1763" s="0">
        <v>6</v>
      </c>
    </row>
    <row r="1764" spans="1:10" customHeight="0">
      <c r="A1764" s="0">
        <f>HYPERLINK("https://dl.dropboxusercontent.com/scl/fi/upclxgwvbt4zqq2vcd21l/123136-f.jpg?rlkey=p1w7kd7rdigb88vzp5j8uu9dp&amp;dl=0","Click to download Image")</f>
      </c>
      <c r="C1764" s="0" t="inlineStr">
        <is>
          <t>Luma Toddler Hoodie</t>
        </is>
      </c>
      <c r="D1764" s="1">
        <v>123139</v>
      </c>
      <c r="E1764" s="0" t="inlineStr">
        <is>
          <t>IOWA LUMA T BK:123139B-3T</t>
        </is>
      </c>
      <c r="F1764" s="2">
        <v>800123139096</v>
      </c>
      <c r="G1764" s="0" t="inlineStr">
        <is>
          <t>TODDLER</t>
        </is>
      </c>
      <c r="H1764" s="0" t="inlineStr">
        <is>
          <t>3T</t>
        </is>
      </c>
      <c r="I1764" s="0">
        <v>49.99</v>
      </c>
      <c r="J1764" s="0">
        <v>9</v>
      </c>
    </row>
    <row r="1765" spans="1:10" customHeight="0">
      <c r="A1765" s="0">
        <f>HYPERLINK("https://dl.dropboxusercontent.com/scl/fi/upclxgwvbt4zqq2vcd21l/123136-f.jpg?rlkey=p1w7kd7rdigb88vzp5j8uu9dp&amp;dl=0","Click to download Image")</f>
      </c>
      <c r="C1765" s="0" t="inlineStr">
        <is>
          <t>Luma Toddler Hoodie</t>
        </is>
      </c>
      <c r="D1765" s="1">
        <v>123139</v>
      </c>
      <c r="E1765" s="0" t="inlineStr">
        <is>
          <t>IOWA LUMA T BK:123139C-4T</t>
        </is>
      </c>
      <c r="F1765" s="2">
        <v>800123139102</v>
      </c>
      <c r="G1765" s="0" t="inlineStr">
        <is>
          <t>TODDLER</t>
        </is>
      </c>
      <c r="H1765" s="0" t="inlineStr">
        <is>
          <t>4T</t>
        </is>
      </c>
      <c r="I1765" s="0">
        <v>49.99</v>
      </c>
      <c r="J1765" s="0">
        <v>7</v>
      </c>
    </row>
    <row r="1766" spans="1:10" customHeight="0">
      <c r="A1766" s="0">
        <f>HYPERLINK("https://dl.dropboxusercontent.com/scl/fi/upclxgwvbt4zqq2vcd21l/123136-f.jpg?rlkey=p1w7kd7rdigb88vzp5j8uu9dp&amp;dl=0","Click to download Image")</f>
      </c>
      <c r="C1766" s="0" t="inlineStr">
        <is>
          <t>Luma Toddler Hoodie</t>
        </is>
      </c>
      <c r="D1766" s="1">
        <v>123139</v>
      </c>
      <c r="E1766" s="0" t="inlineStr">
        <is>
          <t>IOWA LUMA T BK:123139D-5T</t>
        </is>
      </c>
      <c r="F1766" s="2">
        <v>800123139119</v>
      </c>
      <c r="G1766" s="0" t="inlineStr">
        <is>
          <t>TODDLER</t>
        </is>
      </c>
      <c r="H1766" s="0" t="inlineStr">
        <is>
          <t>5T</t>
        </is>
      </c>
      <c r="I1766" s="0">
        <v>49.99</v>
      </c>
      <c r="J1766" s="0">
        <v>21</v>
      </c>
    </row>
    <row r="1767" spans="1:10" customHeight="0">
      <c r="A1767" s="0">
        <f>HYPERLINK("https://dl.dropboxusercontent.com/scl/fi/upclxgwvbt4zqq2vcd21l/123136-f.jpg?rlkey=p1w7kd7rdigb88vzp5j8uu9dp&amp;dl=0","Click to download Image")</f>
      </c>
      <c r="C1767" s="0" t="inlineStr">
        <is>
          <t>Luma Toddler Hoodie</t>
        </is>
      </c>
      <c r="D1767" s="1">
        <v>123139</v>
      </c>
      <c r="E1767" s="0" t="inlineStr">
        <is>
          <t>IOWA LUMA T BK 12PK:123139Z-12PK</t>
        </is>
      </c>
      <c r="F1767" s="2">
        <v>800123139997</v>
      </c>
      <c r="G1767" s="0" t="inlineStr">
        <is>
          <t>TODDLER</t>
        </is>
      </c>
      <c r="H1767" s="0" t="inlineStr">
        <is>
          <t>12 PACK</t>
        </is>
      </c>
      <c r="I1767" s="0">
        <v>486</v>
      </c>
      <c r="J1767" s="0">
        <v>0</v>
      </c>
    </row>
    <row r="1768" spans="1:10" customHeight="0">
      <c r="A1768" s="0">
        <f>HYPERLINK("https://dl.dropboxusercontent.com/scl/fi/jdd5atwm4i1u472h8f2w3/123136-f.jpg?rlkey=llqebja9oiuoiv0f3wtp7ysk4&amp;dl=0","Click to download Image")</f>
      </c>
      <c r="C1768" s="0" t="inlineStr">
        <is>
          <t>Luma Youth Hoodie</t>
        </is>
      </c>
      <c r="D1768" s="1">
        <v>123136</v>
      </c>
      <c r="E1768" s="0" t="inlineStr">
        <is>
          <t>IOWA LUMA Y BK:123136B-YS</t>
        </is>
      </c>
      <c r="F1768" s="2">
        <v>800123136019</v>
      </c>
      <c r="G1768" s="0" t="inlineStr">
        <is>
          <t>YOUTH</t>
        </is>
      </c>
      <c r="H1768" s="0" t="inlineStr">
        <is>
          <t>YS</t>
        </is>
      </c>
      <c r="I1768" s="0">
        <v>49.99</v>
      </c>
      <c r="J1768" s="0">
        <v>8</v>
      </c>
    </row>
    <row r="1769" spans="1:10" customHeight="0">
      <c r="A1769" s="0">
        <f>HYPERLINK("https://dl.dropboxusercontent.com/scl/fi/jdd5atwm4i1u472h8f2w3/123136-f.jpg?rlkey=llqebja9oiuoiv0f3wtp7ysk4&amp;dl=0","Click to download Image")</f>
      </c>
      <c r="C1769" s="0" t="inlineStr">
        <is>
          <t>Luma Youth Hoodie</t>
        </is>
      </c>
      <c r="D1769" s="1">
        <v>123136</v>
      </c>
      <c r="E1769" s="0" t="inlineStr">
        <is>
          <t>IOWA LUMA Y BK:123136C-YM</t>
        </is>
      </c>
      <c r="F1769" s="2">
        <v>800123136026</v>
      </c>
      <c r="G1769" s="0" t="inlineStr">
        <is>
          <t>YOUTH</t>
        </is>
      </c>
      <c r="H1769" s="0" t="inlineStr">
        <is>
          <t>YM</t>
        </is>
      </c>
      <c r="I1769" s="0">
        <v>49.99</v>
      </c>
      <c r="J1769" s="0">
        <v>7</v>
      </c>
    </row>
    <row r="1770" spans="1:10" customHeight="0">
      <c r="A1770" s="0">
        <f>HYPERLINK("https://dl.dropboxusercontent.com/scl/fi/jdd5atwm4i1u472h8f2w3/123136-f.jpg?rlkey=llqebja9oiuoiv0f3wtp7ysk4&amp;dl=0","Click to download Image")</f>
      </c>
      <c r="C1770" s="0" t="inlineStr">
        <is>
          <t>Luma Youth Hoodie</t>
        </is>
      </c>
      <c r="D1770" s="1">
        <v>123136</v>
      </c>
      <c r="E1770" s="0" t="inlineStr">
        <is>
          <t>IOWA LUMA Y BK:123136D-YL</t>
        </is>
      </c>
      <c r="F1770" s="2">
        <v>800123136033</v>
      </c>
      <c r="G1770" s="0" t="inlineStr">
        <is>
          <t>YOUTH</t>
        </is>
      </c>
      <c r="H1770" s="0" t="inlineStr">
        <is>
          <t>YL</t>
        </is>
      </c>
      <c r="I1770" s="0">
        <v>49.99</v>
      </c>
      <c r="J1770" s="0">
        <v>3</v>
      </c>
    </row>
    <row r="1771" spans="1:10" customHeight="0">
      <c r="A1771" s="0">
        <f>HYPERLINK("https://dl.dropboxusercontent.com/scl/fi/jdd5atwm4i1u472h8f2w3/123136-f.jpg?rlkey=llqebja9oiuoiv0f3wtp7ysk4&amp;dl=0","Click to download Image")</f>
      </c>
      <c r="C1771" s="0" t="inlineStr">
        <is>
          <t>Luma Youth Hoodie</t>
        </is>
      </c>
      <c r="D1771" s="1">
        <v>123136</v>
      </c>
      <c r="E1771" s="0" t="inlineStr">
        <is>
          <t>IOWA LUMA Y BK:123136E-YXL</t>
        </is>
      </c>
      <c r="F1771" s="2">
        <v>800123136040</v>
      </c>
      <c r="G1771" s="0" t="inlineStr">
        <is>
          <t>YOUTH</t>
        </is>
      </c>
      <c r="H1771" s="0" t="inlineStr">
        <is>
          <t>YXL</t>
        </is>
      </c>
      <c r="I1771" s="0">
        <v>49.99</v>
      </c>
      <c r="J1771" s="0">
        <v>9</v>
      </c>
    </row>
    <row r="1772" spans="1:10" customHeight="0">
      <c r="A1772" s="0">
        <f>HYPERLINK("https://dl.dropboxusercontent.com/scl/fi/jdd5atwm4i1u472h8f2w3/123136-f.jpg?rlkey=llqebja9oiuoiv0f3wtp7ysk4&amp;dl=0","Click to download Image")</f>
      </c>
      <c r="C1772" s="0" t="inlineStr">
        <is>
          <t>Luma Youth Hoodie</t>
        </is>
      </c>
      <c r="D1772" s="1">
        <v>123136</v>
      </c>
      <c r="E1772" s="0" t="inlineStr">
        <is>
          <t>IOWA LUMA Y BK 12PK:123136Z-12PK</t>
        </is>
      </c>
      <c r="F1772" s="2">
        <v>800123136996</v>
      </c>
      <c r="G1772" s="0" t="inlineStr">
        <is>
          <t>YOUTH</t>
        </is>
      </c>
      <c r="H1772" s="0" t="inlineStr">
        <is>
          <t>12 PACK</t>
        </is>
      </c>
      <c r="I1772" s="0">
        <v>486</v>
      </c>
      <c r="J1772" s="0">
        <v>0</v>
      </c>
    </row>
    <row r="1773" spans="1:10" customHeight="0">
      <c r="A1773" s="0">
        <f>HYPERLINK("https://dl.dropboxusercontent.com/scl/fi/kuz06ce2urvmkqju8pj9h/108970-af.jpg?rlkey=9fyjsdhqwi3sy2sh6plf9sjfy&amp;dl=0","Click to download Image")</f>
      </c>
      <c r="B1773" s="0">
        <f>HYPERLINK("https://dl.dropboxusercontent.com/scl/fi/j6khw32ke7ead0bgflzr5/womens-hoodie-and-sweatshirt-size-chartsvictoria.jpg?rlkey=dszz3s9jg4kezzq4fsbjg5dzr&amp;dl=0","Click to download SizeChart")</f>
      </c>
      <c r="C1773" s="0" t="inlineStr">
        <is>
          <t>Victoria Women's Cowl Neck Pullover</t>
        </is>
      </c>
      <c r="D1773" s="1">
        <v>108970</v>
      </c>
      <c r="E1773" s="0" t="inlineStr">
        <is>
          <t>IA VICTORIA GREY:108970A-S</t>
        </is>
      </c>
      <c r="F1773" s="2">
        <v>800108970010</v>
      </c>
      <c r="G1773" s="0" t="inlineStr">
        <is>
          <t>WOMENS</t>
        </is>
      </c>
      <c r="H1773" s="0" t="inlineStr">
        <is>
          <t>S</t>
        </is>
      </c>
      <c r="I1773" s="0">
        <v>49.99</v>
      </c>
      <c r="J1773" s="0">
        <v>0</v>
      </c>
    </row>
    <row r="1774" spans="1:10" customHeight="0">
      <c r="A1774" s="0">
        <f>HYPERLINK("https://dl.dropboxusercontent.com/scl/fi/kuz06ce2urvmkqju8pj9h/108970-af.jpg?rlkey=9fyjsdhqwi3sy2sh6plf9sjfy&amp;dl=0","Click to download Image")</f>
      </c>
      <c r="B1774" s="0">
        <f>HYPERLINK("https://dl.dropboxusercontent.com/scl/fi/j6khw32ke7ead0bgflzr5/womens-hoodie-and-sweatshirt-size-chartsvictoria.jpg?rlkey=dszz3s9jg4kezzq4fsbjg5dzr&amp;dl=0","Click to download SizeChart")</f>
      </c>
      <c r="C1774" s="0" t="inlineStr">
        <is>
          <t>Victoria Women's Cowl Neck Pullover</t>
        </is>
      </c>
      <c r="D1774" s="1">
        <v>108970</v>
      </c>
      <c r="E1774" s="0" t="inlineStr">
        <is>
          <t>IA VICTORIA GREY:108970B-M</t>
        </is>
      </c>
      <c r="F1774" s="2">
        <v>800108970027</v>
      </c>
      <c r="G1774" s="0" t="inlineStr">
        <is>
          <t>WOMENS</t>
        </is>
      </c>
      <c r="H1774" s="0" t="inlineStr">
        <is>
          <t>M</t>
        </is>
      </c>
      <c r="I1774" s="0">
        <v>49.99</v>
      </c>
      <c r="J1774" s="0">
        <v>7</v>
      </c>
    </row>
    <row r="1775" spans="1:10" customHeight="0">
      <c r="A1775" s="0">
        <f>HYPERLINK("https://dl.dropboxusercontent.com/scl/fi/kuz06ce2urvmkqju8pj9h/108970-af.jpg?rlkey=9fyjsdhqwi3sy2sh6plf9sjfy&amp;dl=0","Click to download Image")</f>
      </c>
      <c r="B1775" s="0">
        <f>HYPERLINK("https://dl.dropboxusercontent.com/scl/fi/j6khw32ke7ead0bgflzr5/womens-hoodie-and-sweatshirt-size-chartsvictoria.jpg?rlkey=dszz3s9jg4kezzq4fsbjg5dzr&amp;dl=0","Click to download SizeChart")</f>
      </c>
      <c r="C1775" s="0" t="inlineStr">
        <is>
          <t>Victoria Women's Cowl Neck Pullover</t>
        </is>
      </c>
      <c r="D1775" s="1">
        <v>108970</v>
      </c>
      <c r="E1775" s="0" t="inlineStr">
        <is>
          <t>IA VICTORIA GREY:108970C-L</t>
        </is>
      </c>
      <c r="F1775" s="2">
        <v>800108970034</v>
      </c>
      <c r="G1775" s="0" t="inlineStr">
        <is>
          <t>WOMENS</t>
        </is>
      </c>
      <c r="H1775" s="0" t="inlineStr">
        <is>
          <t>L</t>
        </is>
      </c>
      <c r="I1775" s="0">
        <v>49.99</v>
      </c>
      <c r="J1775" s="0">
        <v>6</v>
      </c>
    </row>
    <row r="1776" spans="1:10" customHeight="0">
      <c r="A1776" s="0">
        <f>HYPERLINK("https://dl.dropboxusercontent.com/scl/fi/kuz06ce2urvmkqju8pj9h/108970-af.jpg?rlkey=9fyjsdhqwi3sy2sh6plf9sjfy&amp;dl=0","Click to download Image")</f>
      </c>
      <c r="B1776" s="0">
        <f>HYPERLINK("https://dl.dropboxusercontent.com/scl/fi/j6khw32ke7ead0bgflzr5/womens-hoodie-and-sweatshirt-size-chartsvictoria.jpg?rlkey=dszz3s9jg4kezzq4fsbjg5dzr&amp;dl=0","Click to download SizeChart")</f>
      </c>
      <c r="C1776" s="0" t="inlineStr">
        <is>
          <t>Victoria Women's Cowl Neck Pullover</t>
        </is>
      </c>
      <c r="D1776" s="1">
        <v>108970</v>
      </c>
      <c r="E1776" s="0" t="inlineStr">
        <is>
          <t>IA VICTORIA GREY:108970D-XL</t>
        </is>
      </c>
      <c r="F1776" s="2">
        <v>800108970041</v>
      </c>
      <c r="G1776" s="0" t="inlineStr">
        <is>
          <t>WOMENS</t>
        </is>
      </c>
      <c r="H1776" s="0" t="inlineStr">
        <is>
          <t>XL</t>
        </is>
      </c>
      <c r="I1776" s="0">
        <v>49.99</v>
      </c>
      <c r="J1776" s="0">
        <v>0</v>
      </c>
    </row>
    <row r="1777" spans="1:10" customHeight="0">
      <c r="A1777" s="0">
        <f>HYPERLINK("https://dl.dropboxusercontent.com/scl/fi/kuz06ce2urvmkqju8pj9h/108970-af.jpg?rlkey=9fyjsdhqwi3sy2sh6plf9sjfy&amp;dl=0","Click to download Image")</f>
      </c>
      <c r="B1777" s="0">
        <f>HYPERLINK("https://dl.dropboxusercontent.com/scl/fi/j6khw32ke7ead0bgflzr5/womens-hoodie-and-sweatshirt-size-chartsvictoria.jpg?rlkey=dszz3s9jg4kezzq4fsbjg5dzr&amp;dl=0","Click to download SizeChart")</f>
      </c>
      <c r="C1777" s="0" t="inlineStr">
        <is>
          <t>Victoria Women's Cowl Neck Pullover</t>
        </is>
      </c>
      <c r="D1777" s="1">
        <v>108970</v>
      </c>
      <c r="E1777" s="0" t="inlineStr">
        <is>
          <t>IA VICTORIA GREY:108970E-2XL</t>
        </is>
      </c>
      <c r="F1777" s="2">
        <v>800108970058</v>
      </c>
      <c r="G1777" s="0" t="inlineStr">
        <is>
          <t>WOMENS</t>
        </is>
      </c>
      <c r="H1777" s="0" t="inlineStr">
        <is>
          <t>2XL</t>
        </is>
      </c>
      <c r="I1777" s="0">
        <v>49.99</v>
      </c>
      <c r="J1777" s="0">
        <v>0</v>
      </c>
    </row>
    <row r="1778" spans="1:10" customHeight="0">
      <c r="A1778" s="0">
        <f>HYPERLINK("https://dl.dropboxusercontent.com/scl/fi/kuz06ce2urvmkqju8pj9h/108970-af.jpg?rlkey=9fyjsdhqwi3sy2sh6plf9sjfy&amp;dl=0","Click to download Image")</f>
      </c>
      <c r="B1778" s="0">
        <f>HYPERLINK("https://dl.dropboxusercontent.com/scl/fi/j6khw32ke7ead0bgflzr5/womens-hoodie-and-sweatshirt-size-chartsvictoria.jpg?rlkey=dszz3s9jg4kezzq4fsbjg5dzr&amp;dl=0","Click to download SizeChart")</f>
      </c>
      <c r="C1778" s="0" t="inlineStr">
        <is>
          <t>Victoria Women's Cowl Neck Pullover</t>
        </is>
      </c>
      <c r="D1778" s="1">
        <v>108970</v>
      </c>
      <c r="E1778" s="0" t="inlineStr">
        <is>
          <t>IA VICTORIA GREY:108970F-3XL</t>
        </is>
      </c>
      <c r="F1778" s="2">
        <v>800108970065</v>
      </c>
      <c r="G1778" s="0" t="inlineStr">
        <is>
          <t>WOMENS</t>
        </is>
      </c>
      <c r="H1778" s="0" t="inlineStr">
        <is>
          <t>3XL</t>
        </is>
      </c>
      <c r="I1778" s="0">
        <v>49.99</v>
      </c>
      <c r="J1778" s="0">
        <v>0</v>
      </c>
    </row>
    <row r="1779" spans="1:10" customHeight="0">
      <c r="A1779" s="0">
        <f>HYPERLINK("https://dl.dropboxusercontent.com/scl/fi/1n43ny1fgo7mqi5a46h75/106938-af.jpg?rlkey=fmtfttqvi1k31jeswvozeuhil&amp;dl=0","Click to download Image")</f>
      </c>
      <c r="B1779" s="0">
        <f>HYPERLINK("https://dl.dropboxusercontent.com/scl/fi/j6khw32ke7ead0bgflzr5/womens-hoodie-and-sweatshirt-size-chartsvictoria.jpg?rlkey=dszz3s9jg4kezzq4fsbjg5dzr&amp;dl=0","Click to download SizeChart")</f>
      </c>
      <c r="C1779" s="0" t="inlineStr">
        <is>
          <t>Victoria Women's Cowl Neck Pullover</t>
        </is>
      </c>
      <c r="D1779" s="1">
        <v>106938</v>
      </c>
      <c r="E1779" s="0" t="inlineStr">
        <is>
          <t>IA VICTORIA:106938A-S</t>
        </is>
      </c>
      <c r="F1779" s="2">
        <v>800106938012</v>
      </c>
      <c r="G1779" s="0" t="inlineStr">
        <is>
          <t>WOMENS</t>
        </is>
      </c>
      <c r="H1779" s="0" t="inlineStr">
        <is>
          <t>S</t>
        </is>
      </c>
      <c r="I1779" s="0">
        <v>49.99</v>
      </c>
      <c r="J1779" s="0">
        <v>0</v>
      </c>
    </row>
    <row r="1780" spans="1:10" customHeight="0">
      <c r="A1780" s="0">
        <f>HYPERLINK("https://dl.dropboxusercontent.com/scl/fi/1n43ny1fgo7mqi5a46h75/106938-af.jpg?rlkey=fmtfttqvi1k31jeswvozeuhil&amp;dl=0","Click to download Image")</f>
      </c>
      <c r="B1780" s="0">
        <f>HYPERLINK("https://dl.dropboxusercontent.com/scl/fi/j6khw32ke7ead0bgflzr5/womens-hoodie-and-sweatshirt-size-chartsvictoria.jpg?rlkey=dszz3s9jg4kezzq4fsbjg5dzr&amp;dl=0","Click to download SizeChart")</f>
      </c>
      <c r="C1780" s="0" t="inlineStr">
        <is>
          <t>Victoria Women's Cowl Neck Pullover</t>
        </is>
      </c>
      <c r="D1780" s="1">
        <v>106938</v>
      </c>
      <c r="E1780" s="0" t="inlineStr">
        <is>
          <t>IA VICTORIA:106938B-M</t>
        </is>
      </c>
      <c r="F1780" s="2">
        <v>800106938029</v>
      </c>
      <c r="G1780" s="0" t="inlineStr">
        <is>
          <t>WOMENS</t>
        </is>
      </c>
      <c r="H1780" s="0" t="inlineStr">
        <is>
          <t>M</t>
        </is>
      </c>
      <c r="I1780" s="0">
        <v>49.99</v>
      </c>
      <c r="J1780" s="0">
        <v>0</v>
      </c>
    </row>
    <row r="1781" spans="1:10" customHeight="0">
      <c r="A1781" s="0">
        <f>HYPERLINK("https://dl.dropboxusercontent.com/scl/fi/1n43ny1fgo7mqi5a46h75/106938-af.jpg?rlkey=fmtfttqvi1k31jeswvozeuhil&amp;dl=0","Click to download Image")</f>
      </c>
      <c r="B1781" s="0">
        <f>HYPERLINK("https://dl.dropboxusercontent.com/scl/fi/j6khw32ke7ead0bgflzr5/womens-hoodie-and-sweatshirt-size-chartsvictoria.jpg?rlkey=dszz3s9jg4kezzq4fsbjg5dzr&amp;dl=0","Click to download SizeChart")</f>
      </c>
      <c r="C1781" s="0" t="inlineStr">
        <is>
          <t>Victoria Women's Cowl Neck Pullover</t>
        </is>
      </c>
      <c r="D1781" s="1">
        <v>106938</v>
      </c>
      <c r="E1781" s="0" t="inlineStr">
        <is>
          <t>IA VICTORIA:106938C-L</t>
        </is>
      </c>
      <c r="F1781" s="2">
        <v>800106938036</v>
      </c>
      <c r="G1781" s="0" t="inlineStr">
        <is>
          <t>WOMENS</t>
        </is>
      </c>
      <c r="H1781" s="0" t="inlineStr">
        <is>
          <t>L</t>
        </is>
      </c>
      <c r="I1781" s="0">
        <v>49.99</v>
      </c>
      <c r="J1781" s="0">
        <v>0</v>
      </c>
    </row>
    <row r="1782" spans="1:10" customHeight="0">
      <c r="A1782" s="0">
        <f>HYPERLINK("https://dl.dropboxusercontent.com/scl/fi/1n43ny1fgo7mqi5a46h75/106938-af.jpg?rlkey=fmtfttqvi1k31jeswvozeuhil&amp;dl=0","Click to download Image")</f>
      </c>
      <c r="B1782" s="0">
        <f>HYPERLINK("https://dl.dropboxusercontent.com/scl/fi/j6khw32ke7ead0bgflzr5/womens-hoodie-and-sweatshirt-size-chartsvictoria.jpg?rlkey=dszz3s9jg4kezzq4fsbjg5dzr&amp;dl=0","Click to download SizeChart")</f>
      </c>
      <c r="C1782" s="0" t="inlineStr">
        <is>
          <t>Victoria Women's Cowl Neck Pullover</t>
        </is>
      </c>
      <c r="D1782" s="1">
        <v>106938</v>
      </c>
      <c r="E1782" s="0" t="inlineStr">
        <is>
          <t>IA VICTORIA:106938D-XL</t>
        </is>
      </c>
      <c r="F1782" s="2">
        <v>800106938043</v>
      </c>
      <c r="G1782" s="0" t="inlineStr">
        <is>
          <t>WOMENS</t>
        </is>
      </c>
      <c r="H1782" s="0" t="inlineStr">
        <is>
          <t>XL</t>
        </is>
      </c>
      <c r="I1782" s="0">
        <v>49.99</v>
      </c>
      <c r="J1782" s="0">
        <v>0</v>
      </c>
    </row>
    <row r="1783" spans="1:10" customHeight="0">
      <c r="A1783" s="0">
        <f>HYPERLINK("https://dl.dropboxusercontent.com/scl/fi/1n43ny1fgo7mqi5a46h75/106938-af.jpg?rlkey=fmtfttqvi1k31jeswvozeuhil&amp;dl=0","Click to download Image")</f>
      </c>
      <c r="B1783" s="0">
        <f>HYPERLINK("https://dl.dropboxusercontent.com/scl/fi/j6khw32ke7ead0bgflzr5/womens-hoodie-and-sweatshirt-size-chartsvictoria.jpg?rlkey=dszz3s9jg4kezzq4fsbjg5dzr&amp;dl=0","Click to download SizeChart")</f>
      </c>
      <c r="C1783" s="0" t="inlineStr">
        <is>
          <t>Victoria Women's Cowl Neck Pullover</t>
        </is>
      </c>
      <c r="D1783" s="1">
        <v>106938</v>
      </c>
      <c r="E1783" s="0" t="inlineStr">
        <is>
          <t>IA VICTORIA:106938E-2XL</t>
        </is>
      </c>
      <c r="F1783" s="2">
        <v>800106938050</v>
      </c>
      <c r="G1783" s="0" t="inlineStr">
        <is>
          <t>WOMENS</t>
        </is>
      </c>
      <c r="H1783" s="0" t="inlineStr">
        <is>
          <t>2XL</t>
        </is>
      </c>
      <c r="I1783" s="0">
        <v>49.99</v>
      </c>
      <c r="J1783" s="0">
        <v>0</v>
      </c>
    </row>
    <row r="1784" spans="1:10" customHeight="0">
      <c r="A1784" s="0">
        <f>HYPERLINK("https://dl.dropboxusercontent.com/scl/fi/1n43ny1fgo7mqi5a46h75/106938-af.jpg?rlkey=fmtfttqvi1k31jeswvozeuhil&amp;dl=0","Click to download Image")</f>
      </c>
      <c r="B1784" s="0">
        <f>HYPERLINK("https://dl.dropboxusercontent.com/scl/fi/j6khw32ke7ead0bgflzr5/womens-hoodie-and-sweatshirt-size-chartsvictoria.jpg?rlkey=dszz3s9jg4kezzq4fsbjg5dzr&amp;dl=0","Click to download SizeChart")</f>
      </c>
      <c r="C1784" s="0" t="inlineStr">
        <is>
          <t>Victoria Women's Cowl Neck Pullover</t>
        </is>
      </c>
      <c r="D1784" s="1">
        <v>106938</v>
      </c>
      <c r="E1784" s="0" t="inlineStr">
        <is>
          <t>IA VICTORIA:106938F-3XL</t>
        </is>
      </c>
      <c r="F1784" s="2">
        <v>800106938067</v>
      </c>
      <c r="G1784" s="0" t="inlineStr">
        <is>
          <t>WOMENS</t>
        </is>
      </c>
      <c r="H1784" s="0" t="inlineStr">
        <is>
          <t>3XL</t>
        </is>
      </c>
      <c r="I1784" s="0">
        <v>49.99</v>
      </c>
      <c r="J1784" s="0">
        <v>2</v>
      </c>
    </row>
    <row r="1785" spans="1:10" customHeight="0">
      <c r="A1785" s="0">
        <f>HYPERLINK("https://dl.dropboxusercontent.com/scl/fi/axdxx5aqt2o2tqjfbcsr8/113383-af.jpg?rlkey=ht6ez0jydzzjlvvgjmz3ymq53&amp;dl=0","Click to download Image")</f>
      </c>
      <c r="C1785" s="0" t="inlineStr">
        <is>
          <t>Renfred Youth Cap</t>
        </is>
      </c>
      <c r="D1785" s="1">
        <v>113383</v>
      </c>
      <c r="E1785" s="0" t="inlineStr">
        <is>
          <t>IOWA RENFRED:113383</t>
        </is>
      </c>
      <c r="F1785" s="2">
        <v>700113383037</v>
      </c>
      <c r="G1785" s="0" t="inlineStr">
        <is>
          <t>YOUTH</t>
        </is>
      </c>
      <c r="H1785" s="0" t="inlineStr">
        <is>
          <t>YOUTH</t>
        </is>
      </c>
      <c r="I1785" s="0">
        <v>19.99</v>
      </c>
      <c r="J1785" s="0">
        <v>10</v>
      </c>
    </row>
    <row r="1786" spans="1:10" customHeight="0">
      <c r="A1786" s="0">
        <f>HYPERLINK("https://dl.dropboxusercontent.com/scl/fi/hj4e563v6ixbxfdsuhage/113383-af.jpg?rlkey=zerjr5eriiyd03j50pnjs402t&amp;dl=0","Click to download Image")</f>
      </c>
      <c r="C1786" s="0" t="inlineStr">
        <is>
          <t>Renfred Toddler Cap</t>
        </is>
      </c>
      <c r="D1786" s="1">
        <v>122902</v>
      </c>
      <c r="E1786" s="0" t="inlineStr">
        <is>
          <t>IOWA RENFRE T BK:122902</t>
        </is>
      </c>
      <c r="F1786" s="2">
        <v>700122902045</v>
      </c>
      <c r="G1786" s="0" t="inlineStr">
        <is>
          <t>TODDLER</t>
        </is>
      </c>
      <c r="H1786" s="0" t="inlineStr">
        <is>
          <t>TODDLER</t>
        </is>
      </c>
      <c r="I1786" s="0">
        <v>19.99</v>
      </c>
      <c r="J1786" s="0">
        <v>27</v>
      </c>
    </row>
    <row r="1787" spans="1:10" customHeight="0">
      <c r="A1787" s="0">
        <f>HYPERLINK("https://dl.dropboxusercontent.com/scl/fi/n2zhiy71mh508fnpq32dp/iadonovanf175595.jpg?rlkey=el7pxwcxz9r1gaxac8cdr8ye8&amp;dl=0","Click to download Image")</f>
      </c>
      <c r="B1787" s="0">
        <f>HYPERLINK("https://dl.dropboxusercontent.com/scl/fi/io0jgsb3hswkw6ougk0v3/mens-d.jpg?rlkey=h3swqn53prsv5zvgduixjw0uq&amp;dl=0","Click to download SizeChart")</f>
      </c>
      <c r="C1787" s="0" t="inlineStr">
        <is>
          <t>Dovan Men's Fitness Jacket</t>
        </is>
      </c>
      <c r="D1787" s="1">
        <v>95543</v>
      </c>
      <c r="E1787" s="0" t="inlineStr">
        <is>
          <t>DONOVAN:95543A-S</t>
        </is>
      </c>
      <c r="G1787" s="0" t="inlineStr">
        <is>
          <t>MENS</t>
        </is>
      </c>
      <c r="H1787" s="0" t="inlineStr">
        <is>
          <t>S</t>
        </is>
      </c>
      <c r="I1787" s="0">
        <v>59.99</v>
      </c>
      <c r="J1787" s="0">
        <v>36</v>
      </c>
    </row>
    <row r="1788" spans="1:10" customHeight="0">
      <c r="A1788" s="0">
        <f>HYPERLINK("https://dl.dropboxusercontent.com/scl/fi/n2zhiy71mh508fnpq32dp/iadonovanf175595.jpg?rlkey=el7pxwcxz9r1gaxac8cdr8ye8&amp;dl=0","Click to download Image")</f>
      </c>
      <c r="B1788" s="0">
        <f>HYPERLINK("https://dl.dropboxusercontent.com/scl/fi/io0jgsb3hswkw6ougk0v3/mens-d.jpg?rlkey=h3swqn53prsv5zvgduixjw0uq&amp;dl=0","Click to download SizeChart")</f>
      </c>
      <c r="C1788" s="0" t="inlineStr">
        <is>
          <t>Dovan Men's Fitness Jacket</t>
        </is>
      </c>
      <c r="D1788" s="1">
        <v>95543</v>
      </c>
      <c r="E1788" s="0" t="inlineStr">
        <is>
          <t>DONOVAN:95543B-M</t>
        </is>
      </c>
      <c r="G1788" s="0" t="inlineStr">
        <is>
          <t>MENS</t>
        </is>
      </c>
      <c r="H1788" s="0" t="inlineStr">
        <is>
          <t>M</t>
        </is>
      </c>
      <c r="I1788" s="0">
        <v>59.99</v>
      </c>
      <c r="J1788" s="0">
        <v>70</v>
      </c>
    </row>
    <row r="1789" spans="1:10" customHeight="0">
      <c r="A1789" s="0">
        <f>HYPERLINK("https://dl.dropboxusercontent.com/scl/fi/n2zhiy71mh508fnpq32dp/iadonovanf175595.jpg?rlkey=el7pxwcxz9r1gaxac8cdr8ye8&amp;dl=0","Click to download Image")</f>
      </c>
      <c r="B1789" s="0">
        <f>HYPERLINK("https://dl.dropboxusercontent.com/scl/fi/io0jgsb3hswkw6ougk0v3/mens-d.jpg?rlkey=h3swqn53prsv5zvgduixjw0uq&amp;dl=0","Click to download SizeChart")</f>
      </c>
      <c r="C1789" s="0" t="inlineStr">
        <is>
          <t>Dovan Men's Fitness Jacket</t>
        </is>
      </c>
      <c r="D1789" s="1">
        <v>95543</v>
      </c>
      <c r="E1789" s="0" t="inlineStr">
        <is>
          <t>DONOVAN:95543C-L</t>
        </is>
      </c>
      <c r="G1789" s="0" t="inlineStr">
        <is>
          <t>MENS</t>
        </is>
      </c>
      <c r="H1789" s="0" t="inlineStr">
        <is>
          <t>L</t>
        </is>
      </c>
      <c r="I1789" s="0">
        <v>59.99</v>
      </c>
      <c r="J1789" s="0">
        <v>114</v>
      </c>
    </row>
    <row r="1790" spans="1:10" customHeight="0">
      <c r="A1790" s="0">
        <f>HYPERLINK("https://dl.dropboxusercontent.com/scl/fi/n2zhiy71mh508fnpq32dp/iadonovanf175595.jpg?rlkey=el7pxwcxz9r1gaxac8cdr8ye8&amp;dl=0","Click to download Image")</f>
      </c>
      <c r="B1790" s="0">
        <f>HYPERLINK("https://dl.dropboxusercontent.com/scl/fi/io0jgsb3hswkw6ougk0v3/mens-d.jpg?rlkey=h3swqn53prsv5zvgduixjw0uq&amp;dl=0","Click to download SizeChart")</f>
      </c>
      <c r="C1790" s="0" t="inlineStr">
        <is>
          <t>Dovan Men's Fitness Jacket</t>
        </is>
      </c>
      <c r="D1790" s="1">
        <v>95543</v>
      </c>
      <c r="E1790" s="0" t="inlineStr">
        <is>
          <t>DONOVAN:95543D-XL</t>
        </is>
      </c>
      <c r="G1790" s="0" t="inlineStr">
        <is>
          <t>MENS</t>
        </is>
      </c>
      <c r="H1790" s="0" t="inlineStr">
        <is>
          <t>XL</t>
        </is>
      </c>
      <c r="I1790" s="0">
        <v>59.99</v>
      </c>
      <c r="J1790" s="0">
        <v>116</v>
      </c>
    </row>
    <row r="1791" spans="1:10" customHeight="0">
      <c r="A1791" s="0">
        <f>HYPERLINK("https://dl.dropboxusercontent.com/scl/fi/n2zhiy71mh508fnpq32dp/iadonovanf175595.jpg?rlkey=el7pxwcxz9r1gaxac8cdr8ye8&amp;dl=0","Click to download Image")</f>
      </c>
      <c r="B1791" s="0">
        <f>HYPERLINK("https://dl.dropboxusercontent.com/scl/fi/io0jgsb3hswkw6ougk0v3/mens-d.jpg?rlkey=h3swqn53prsv5zvgduixjw0uq&amp;dl=0","Click to download SizeChart")</f>
      </c>
      <c r="C1791" s="0" t="inlineStr">
        <is>
          <t>Dovan Men's Fitness Jacket</t>
        </is>
      </c>
      <c r="D1791" s="1">
        <v>95543</v>
      </c>
      <c r="E1791" s="0" t="inlineStr">
        <is>
          <t>DONOVAN:95543E-2X</t>
        </is>
      </c>
      <c r="G1791" s="0" t="inlineStr">
        <is>
          <t>MENS</t>
        </is>
      </c>
      <c r="H1791" s="0" t="inlineStr">
        <is>
          <t>2XL</t>
        </is>
      </c>
      <c r="I1791" s="0">
        <v>59.99</v>
      </c>
      <c r="J1791" s="0">
        <v>73</v>
      </c>
    </row>
    <row r="1792" spans="1:10" customHeight="0">
      <c r="A1792" s="0">
        <f>HYPERLINK("https://dl.dropboxusercontent.com/scl/fi/n2zhiy71mh508fnpq32dp/iadonovanf175595.jpg?rlkey=el7pxwcxz9r1gaxac8cdr8ye8&amp;dl=0","Click to download Image")</f>
      </c>
      <c r="B1792" s="0">
        <f>HYPERLINK("https://dl.dropboxusercontent.com/scl/fi/io0jgsb3hswkw6ougk0v3/mens-d.jpg?rlkey=h3swqn53prsv5zvgduixjw0uq&amp;dl=0","Click to download SizeChart")</f>
      </c>
      <c r="C1792" s="0" t="inlineStr">
        <is>
          <t>Dovan Men's Fitness Jacket</t>
        </is>
      </c>
      <c r="D1792" s="1">
        <v>95543</v>
      </c>
      <c r="E1792" s="0" t="inlineStr">
        <is>
          <t>DONOVAN:95543F-3X</t>
        </is>
      </c>
      <c r="G1792" s="0" t="inlineStr">
        <is>
          <t>MENS</t>
        </is>
      </c>
      <c r="H1792" s="0" t="inlineStr">
        <is>
          <t>3XL</t>
        </is>
      </c>
      <c r="I1792" s="0">
        <v>59.99</v>
      </c>
      <c r="J1792" s="0">
        <v>33</v>
      </c>
    </row>
    <row r="1793" spans="1:10" customHeight="0">
      <c r="A1793" s="0">
        <f>HYPERLINK("https://dl.dropboxusercontent.com/scl/fi/cn5hgzvkgjb7om41y17xz/96917af.jpg?rlkey=8it075s2ijexprl4g4lfmyeg4&amp;dl=0","Click to download Image")</f>
      </c>
      <c r="B1793" s="0">
        <f>HYPERLINK("https://dl.dropboxusercontent.com/scl/fi/d01ubb2e9izaufqts5od3/mens-d.jpg?rlkey=db8z63495kvrj575e9jmjldld&amp;dl=0","Click to download SizeChart")</f>
      </c>
      <c r="C1793" s="0" t="inlineStr">
        <is>
          <t>Ethan Men's Sweatshirt Jacket</t>
        </is>
      </c>
      <c r="D1793" s="1">
        <v>96917</v>
      </c>
      <c r="E1793" s="0" t="inlineStr">
        <is>
          <t>ETHAN:96917A-S</t>
        </is>
      </c>
      <c r="G1793" s="0" t="inlineStr">
        <is>
          <t>MENS</t>
        </is>
      </c>
      <c r="H1793" s="0" t="inlineStr">
        <is>
          <t>S</t>
        </is>
      </c>
      <c r="I1793" s="0">
        <v>59.99</v>
      </c>
      <c r="J1793" s="0">
        <v>32</v>
      </c>
    </row>
    <row r="1794" spans="1:10" customHeight="0">
      <c r="A1794" s="0">
        <f>HYPERLINK("https://dl.dropboxusercontent.com/scl/fi/cn5hgzvkgjb7om41y17xz/96917af.jpg?rlkey=8it075s2ijexprl4g4lfmyeg4&amp;dl=0","Click to download Image")</f>
      </c>
      <c r="B1794" s="0">
        <f>HYPERLINK("https://dl.dropboxusercontent.com/scl/fi/d01ubb2e9izaufqts5od3/mens-d.jpg?rlkey=db8z63495kvrj575e9jmjldld&amp;dl=0","Click to download SizeChart")</f>
      </c>
      <c r="C1794" s="0" t="inlineStr">
        <is>
          <t>Ethan Men's Sweatshirt Jacket</t>
        </is>
      </c>
      <c r="D1794" s="1">
        <v>96917</v>
      </c>
      <c r="E1794" s="0" t="inlineStr">
        <is>
          <t>ETHAN:96917B-M</t>
        </is>
      </c>
      <c r="G1794" s="0" t="inlineStr">
        <is>
          <t>MENS</t>
        </is>
      </c>
      <c r="H1794" s="0" t="inlineStr">
        <is>
          <t>M</t>
        </is>
      </c>
      <c r="I1794" s="0">
        <v>59.99</v>
      </c>
      <c r="J1794" s="0">
        <v>55</v>
      </c>
    </row>
    <row r="1795" spans="1:10" customHeight="0">
      <c r="A1795" s="0">
        <f>HYPERLINK("https://dl.dropboxusercontent.com/scl/fi/cn5hgzvkgjb7om41y17xz/96917af.jpg?rlkey=8it075s2ijexprl4g4lfmyeg4&amp;dl=0","Click to download Image")</f>
      </c>
      <c r="B1795" s="0">
        <f>HYPERLINK("https://dl.dropboxusercontent.com/scl/fi/d01ubb2e9izaufqts5od3/mens-d.jpg?rlkey=db8z63495kvrj575e9jmjldld&amp;dl=0","Click to download SizeChart")</f>
      </c>
      <c r="C1795" s="0" t="inlineStr">
        <is>
          <t>Ethan Men's Sweatshirt Jacket</t>
        </is>
      </c>
      <c r="D1795" s="1">
        <v>96917</v>
      </c>
      <c r="E1795" s="0" t="inlineStr">
        <is>
          <t>ETHAN:96917C-L</t>
        </is>
      </c>
      <c r="G1795" s="0" t="inlineStr">
        <is>
          <t>MENS</t>
        </is>
      </c>
      <c r="H1795" s="0" t="inlineStr">
        <is>
          <t>L</t>
        </is>
      </c>
      <c r="I1795" s="0">
        <v>59.99</v>
      </c>
      <c r="J1795" s="0">
        <v>90</v>
      </c>
    </row>
    <row r="1796" spans="1:10" customHeight="0">
      <c r="A1796" s="0">
        <f>HYPERLINK("https://dl.dropboxusercontent.com/scl/fi/cn5hgzvkgjb7om41y17xz/96917af.jpg?rlkey=8it075s2ijexprl4g4lfmyeg4&amp;dl=0","Click to download Image")</f>
      </c>
      <c r="B1796" s="0">
        <f>HYPERLINK("https://dl.dropboxusercontent.com/scl/fi/d01ubb2e9izaufqts5od3/mens-d.jpg?rlkey=db8z63495kvrj575e9jmjldld&amp;dl=0","Click to download SizeChart")</f>
      </c>
      <c r="C1796" s="0" t="inlineStr">
        <is>
          <t>Ethan Men's Sweatshirt Jacket</t>
        </is>
      </c>
      <c r="D1796" s="1">
        <v>96917</v>
      </c>
      <c r="E1796" s="0" t="inlineStr">
        <is>
          <t>ETHAN:96917D-XL</t>
        </is>
      </c>
      <c r="G1796" s="0" t="inlineStr">
        <is>
          <t>MENS</t>
        </is>
      </c>
      <c r="H1796" s="0" t="inlineStr">
        <is>
          <t>XL</t>
        </is>
      </c>
      <c r="I1796" s="0">
        <v>59.99</v>
      </c>
      <c r="J1796" s="0">
        <v>91</v>
      </c>
    </row>
    <row r="1797" spans="1:10" customHeight="0">
      <c r="A1797" s="0">
        <f>HYPERLINK("https://dl.dropboxusercontent.com/scl/fi/cn5hgzvkgjb7om41y17xz/96917af.jpg?rlkey=8it075s2ijexprl4g4lfmyeg4&amp;dl=0","Click to download Image")</f>
      </c>
      <c r="B1797" s="0">
        <f>HYPERLINK("https://dl.dropboxusercontent.com/scl/fi/d01ubb2e9izaufqts5od3/mens-d.jpg?rlkey=db8z63495kvrj575e9jmjldld&amp;dl=0","Click to download SizeChart")</f>
      </c>
      <c r="C1797" s="0" t="inlineStr">
        <is>
          <t>Ethan Men's Sweatshirt Jacket</t>
        </is>
      </c>
      <c r="D1797" s="1">
        <v>96917</v>
      </c>
      <c r="E1797" s="0" t="inlineStr">
        <is>
          <t>ETHAN:96917E-2XL</t>
        </is>
      </c>
      <c r="G1797" s="0" t="inlineStr">
        <is>
          <t>MENS</t>
        </is>
      </c>
      <c r="H1797" s="0" t="inlineStr">
        <is>
          <t>2XL</t>
        </is>
      </c>
      <c r="I1797" s="0">
        <v>59.99</v>
      </c>
      <c r="J1797" s="0">
        <v>53</v>
      </c>
    </row>
    <row r="1798" spans="1:10" customHeight="0">
      <c r="A1798" s="0">
        <f>HYPERLINK("https://dl.dropboxusercontent.com/scl/fi/cn5hgzvkgjb7om41y17xz/96917af.jpg?rlkey=8it075s2ijexprl4g4lfmyeg4&amp;dl=0","Click to download Image")</f>
      </c>
      <c r="B1798" s="0">
        <f>HYPERLINK("https://dl.dropboxusercontent.com/scl/fi/d01ubb2e9izaufqts5od3/mens-d.jpg?rlkey=db8z63495kvrj575e9jmjldld&amp;dl=0","Click to download SizeChart")</f>
      </c>
      <c r="C1798" s="0" t="inlineStr">
        <is>
          <t>Ethan Men's Sweatshirt Jacket</t>
        </is>
      </c>
      <c r="D1798" s="1">
        <v>96917</v>
      </c>
      <c r="E1798" s="0" t="inlineStr">
        <is>
          <t>ETHAN:96917F-3XL</t>
        </is>
      </c>
      <c r="G1798" s="0" t="inlineStr">
        <is>
          <t>MENS</t>
        </is>
      </c>
      <c r="H1798" s="0" t="inlineStr">
        <is>
          <t>3XL</t>
        </is>
      </c>
      <c r="I1798" s="0">
        <v>59.99</v>
      </c>
      <c r="J1798" s="0">
        <v>29</v>
      </c>
    </row>
    <row r="1799" spans="1:10" customHeight="0">
      <c r="A1799" s="0">
        <f>HYPERLINK("https://dl.dropboxusercontent.com/scl/fi/5y82anllhj7iwuyk12xy6/95982af.jpg?rlkey=7arllcy5qr8jn8l7u73mk9jk6&amp;dl=0","Click to download Image")</f>
      </c>
      <c r="B1799" s="0">
        <f>HYPERLINK("https://dl.dropboxusercontent.com/scl/fi/q3mnvqd690k5xmpoiwqj9/mens-d.jpg?rlkey=m1h6jstkzcll1reez2rm95rjh&amp;dl=0","Click to download SizeChart")</f>
      </c>
      <c r="C1799" s="0" t="inlineStr">
        <is>
          <t>Ben Men's Polar Fleece Jacket</t>
        </is>
      </c>
      <c r="D1799" s="1">
        <v>95982</v>
      </c>
      <c r="E1799" s="0" t="inlineStr">
        <is>
          <t>BEN:95982A-S</t>
        </is>
      </c>
      <c r="G1799" s="0" t="inlineStr">
        <is>
          <t>MENS</t>
        </is>
      </c>
      <c r="H1799" s="0" t="inlineStr">
        <is>
          <t>S</t>
        </is>
      </c>
      <c r="I1799" s="0">
        <v>89.99</v>
      </c>
      <c r="J1799" s="0">
        <v>26</v>
      </c>
    </row>
    <row r="1800" spans="1:10" customHeight="0">
      <c r="A1800" s="0">
        <f>HYPERLINK("https://dl.dropboxusercontent.com/scl/fi/5y82anllhj7iwuyk12xy6/95982af.jpg?rlkey=7arllcy5qr8jn8l7u73mk9jk6&amp;dl=0","Click to download Image")</f>
      </c>
      <c r="B1800" s="0">
        <f>HYPERLINK("https://dl.dropboxusercontent.com/scl/fi/q3mnvqd690k5xmpoiwqj9/mens-d.jpg?rlkey=m1h6jstkzcll1reez2rm95rjh&amp;dl=0","Click to download SizeChart")</f>
      </c>
      <c r="C1800" s="0" t="inlineStr">
        <is>
          <t>Ben Men's Polar Fleece Jacket</t>
        </is>
      </c>
      <c r="D1800" s="1">
        <v>95982</v>
      </c>
      <c r="E1800" s="0" t="inlineStr">
        <is>
          <t>BEN:95982B-M</t>
        </is>
      </c>
      <c r="G1800" s="0" t="inlineStr">
        <is>
          <t>MENS</t>
        </is>
      </c>
      <c r="H1800" s="0" t="inlineStr">
        <is>
          <t>M</t>
        </is>
      </c>
      <c r="I1800" s="0">
        <v>89.99</v>
      </c>
      <c r="J1800" s="0">
        <v>73</v>
      </c>
    </row>
    <row r="1801" spans="1:10" customHeight="0">
      <c r="A1801" s="0">
        <f>HYPERLINK("https://dl.dropboxusercontent.com/scl/fi/5y82anllhj7iwuyk12xy6/95982af.jpg?rlkey=7arllcy5qr8jn8l7u73mk9jk6&amp;dl=0","Click to download Image")</f>
      </c>
      <c r="B1801" s="0">
        <f>HYPERLINK("https://dl.dropboxusercontent.com/scl/fi/q3mnvqd690k5xmpoiwqj9/mens-d.jpg?rlkey=m1h6jstkzcll1reez2rm95rjh&amp;dl=0","Click to download SizeChart")</f>
      </c>
      <c r="C1801" s="0" t="inlineStr">
        <is>
          <t>Ben Men's Polar Fleece Jacket</t>
        </is>
      </c>
      <c r="D1801" s="1">
        <v>95982</v>
      </c>
      <c r="E1801" s="0" t="inlineStr">
        <is>
          <t>BEN:95982C-L</t>
        </is>
      </c>
      <c r="G1801" s="0" t="inlineStr">
        <is>
          <t>MENS</t>
        </is>
      </c>
      <c r="H1801" s="0" t="inlineStr">
        <is>
          <t>L</t>
        </is>
      </c>
      <c r="I1801" s="0">
        <v>89.99</v>
      </c>
      <c r="J1801" s="0">
        <v>93</v>
      </c>
    </row>
    <row r="1802" spans="1:10" customHeight="0">
      <c r="A1802" s="0">
        <f>HYPERLINK("https://dl.dropboxusercontent.com/scl/fi/5y82anllhj7iwuyk12xy6/95982af.jpg?rlkey=7arllcy5qr8jn8l7u73mk9jk6&amp;dl=0","Click to download Image")</f>
      </c>
      <c r="B1802" s="0">
        <f>HYPERLINK("https://dl.dropboxusercontent.com/scl/fi/q3mnvqd690k5xmpoiwqj9/mens-d.jpg?rlkey=m1h6jstkzcll1reez2rm95rjh&amp;dl=0","Click to download SizeChart")</f>
      </c>
      <c r="C1802" s="0" t="inlineStr">
        <is>
          <t>Ben Men's Polar Fleece Jacket</t>
        </is>
      </c>
      <c r="D1802" s="1">
        <v>95982</v>
      </c>
      <c r="E1802" s="0" t="inlineStr">
        <is>
          <t>BEN:95982D-XL</t>
        </is>
      </c>
      <c r="G1802" s="0" t="inlineStr">
        <is>
          <t>MENS</t>
        </is>
      </c>
      <c r="H1802" s="0" t="inlineStr">
        <is>
          <t>XL</t>
        </is>
      </c>
      <c r="I1802" s="0">
        <v>89.99</v>
      </c>
      <c r="J1802" s="0">
        <v>86</v>
      </c>
    </row>
    <row r="1803" spans="1:10" customHeight="0">
      <c r="A1803" s="0">
        <f>HYPERLINK("https://dl.dropboxusercontent.com/scl/fi/5y82anllhj7iwuyk12xy6/95982af.jpg?rlkey=7arllcy5qr8jn8l7u73mk9jk6&amp;dl=0","Click to download Image")</f>
      </c>
      <c r="B1803" s="0">
        <f>HYPERLINK("https://dl.dropboxusercontent.com/scl/fi/q3mnvqd690k5xmpoiwqj9/mens-d.jpg?rlkey=m1h6jstkzcll1reez2rm95rjh&amp;dl=0","Click to download SizeChart")</f>
      </c>
      <c r="C1803" s="0" t="inlineStr">
        <is>
          <t>Ben Men's Polar Fleece Jacket</t>
        </is>
      </c>
      <c r="D1803" s="1">
        <v>95982</v>
      </c>
      <c r="E1803" s="0" t="inlineStr">
        <is>
          <t>BEN:95982E-2X</t>
        </is>
      </c>
      <c r="G1803" s="0" t="inlineStr">
        <is>
          <t>MENS</t>
        </is>
      </c>
      <c r="H1803" s="0" t="inlineStr">
        <is>
          <t>2XL</t>
        </is>
      </c>
      <c r="I1803" s="0">
        <v>89.99</v>
      </c>
      <c r="J1803" s="0">
        <v>51</v>
      </c>
    </row>
    <row r="1804" spans="1:10" customHeight="0">
      <c r="A1804" s="0">
        <f>HYPERLINK("https://dl.dropboxusercontent.com/scl/fi/5y82anllhj7iwuyk12xy6/95982af.jpg?rlkey=7arllcy5qr8jn8l7u73mk9jk6&amp;dl=0","Click to download Image")</f>
      </c>
      <c r="B1804" s="0">
        <f>HYPERLINK("https://dl.dropboxusercontent.com/scl/fi/q3mnvqd690k5xmpoiwqj9/mens-d.jpg?rlkey=m1h6jstkzcll1reez2rm95rjh&amp;dl=0","Click to download SizeChart")</f>
      </c>
      <c r="C1804" s="0" t="inlineStr">
        <is>
          <t>Ben Men's Polar Fleece Jacket</t>
        </is>
      </c>
      <c r="D1804" s="1">
        <v>95982</v>
      </c>
      <c r="E1804" s="0" t="inlineStr">
        <is>
          <t>BEN:95982F-3X</t>
        </is>
      </c>
      <c r="G1804" s="0" t="inlineStr">
        <is>
          <t>MENS</t>
        </is>
      </c>
      <c r="H1804" s="0" t="inlineStr">
        <is>
          <t>3XL</t>
        </is>
      </c>
      <c r="I1804" s="0">
        <v>89.99</v>
      </c>
      <c r="J1804" s="0">
        <v>23</v>
      </c>
    </row>
    <row r="1805" spans="1:10" customHeight="0">
      <c r="A1805" s="0">
        <f>HYPERLINK("https://dl.dropboxusercontent.com/scl/fi/a5xq2q48i70yxmuha2sp7/101429-nixon-mens-performance-polo-thumbnail.jpg?rlkey=1oznlo0mx25r9b5kitd0b6yzh&amp;dl=0","Click to download Image")</f>
      </c>
      <c r="C1805" s="0" t="inlineStr">
        <is>
          <t>Nixon Men's Performance Polo</t>
        </is>
      </c>
      <c r="D1805" s="1">
        <v>101429</v>
      </c>
      <c r="E1805" s="0" t="inlineStr">
        <is>
          <t>NIXON:101429A-S</t>
        </is>
      </c>
      <c r="G1805" s="0" t="inlineStr">
        <is>
          <t>MENS</t>
        </is>
      </c>
      <c r="H1805" s="0" t="inlineStr">
        <is>
          <t>S</t>
        </is>
      </c>
      <c r="I1805" s="0">
        <v>44.99</v>
      </c>
      <c r="J1805" s="0">
        <v>63</v>
      </c>
    </row>
    <row r="1806" spans="1:10" customHeight="0">
      <c r="A1806" s="0">
        <f>HYPERLINK("https://dl.dropboxusercontent.com/scl/fi/a5xq2q48i70yxmuha2sp7/101429-nixon-mens-performance-polo-thumbnail.jpg?rlkey=1oznlo0mx25r9b5kitd0b6yzh&amp;dl=0","Click to download Image")</f>
      </c>
      <c r="C1806" s="0" t="inlineStr">
        <is>
          <t>Nixon Men's Performance Polo</t>
        </is>
      </c>
      <c r="D1806" s="1">
        <v>101429</v>
      </c>
      <c r="E1806" s="0" t="inlineStr">
        <is>
          <t>NIXON:101429B-M</t>
        </is>
      </c>
      <c r="G1806" s="0" t="inlineStr">
        <is>
          <t>MENS</t>
        </is>
      </c>
      <c r="H1806" s="0" t="inlineStr">
        <is>
          <t>M</t>
        </is>
      </c>
      <c r="I1806" s="0">
        <v>44.99</v>
      </c>
      <c r="J1806" s="0">
        <v>75</v>
      </c>
    </row>
    <row r="1807" spans="1:10" customHeight="0">
      <c r="A1807" s="0">
        <f>HYPERLINK("https://dl.dropboxusercontent.com/scl/fi/a5xq2q48i70yxmuha2sp7/101429-nixon-mens-performance-polo-thumbnail.jpg?rlkey=1oznlo0mx25r9b5kitd0b6yzh&amp;dl=0","Click to download Image")</f>
      </c>
      <c r="C1807" s="0" t="inlineStr">
        <is>
          <t>Nixon Men's Performance Polo</t>
        </is>
      </c>
      <c r="D1807" s="1">
        <v>101429</v>
      </c>
      <c r="E1807" s="0" t="inlineStr">
        <is>
          <t>NIXON:101429C-L</t>
        </is>
      </c>
      <c r="G1807" s="0" t="inlineStr">
        <is>
          <t>MENS</t>
        </is>
      </c>
      <c r="H1807" s="0" t="inlineStr">
        <is>
          <t>L</t>
        </is>
      </c>
      <c r="I1807" s="0">
        <v>44.99</v>
      </c>
      <c r="J1807" s="0">
        <v>69</v>
      </c>
    </row>
    <row r="1808" spans="1:10" customHeight="0">
      <c r="A1808" s="0">
        <f>HYPERLINK("https://dl.dropboxusercontent.com/scl/fi/a5xq2q48i70yxmuha2sp7/101429-nixon-mens-performance-polo-thumbnail.jpg?rlkey=1oznlo0mx25r9b5kitd0b6yzh&amp;dl=0","Click to download Image")</f>
      </c>
      <c r="C1808" s="0" t="inlineStr">
        <is>
          <t>Nixon Men's Performance Polo</t>
        </is>
      </c>
      <c r="D1808" s="1">
        <v>101429</v>
      </c>
      <c r="E1808" s="0" t="inlineStr">
        <is>
          <t>NIXON:101429D-XL</t>
        </is>
      </c>
      <c r="G1808" s="0" t="inlineStr">
        <is>
          <t>MENS</t>
        </is>
      </c>
      <c r="H1808" s="0" t="inlineStr">
        <is>
          <t>XL</t>
        </is>
      </c>
      <c r="I1808" s="0">
        <v>44.99</v>
      </c>
      <c r="J1808" s="0">
        <v>71</v>
      </c>
    </row>
    <row r="1809" spans="1:10" customHeight="0">
      <c r="A1809" s="0">
        <f>HYPERLINK("https://dl.dropboxusercontent.com/scl/fi/a5xq2q48i70yxmuha2sp7/101429-nixon-mens-performance-polo-thumbnail.jpg?rlkey=1oznlo0mx25r9b5kitd0b6yzh&amp;dl=0","Click to download Image")</f>
      </c>
      <c r="C1809" s="0" t="inlineStr">
        <is>
          <t>Nixon Men's Performance Polo</t>
        </is>
      </c>
      <c r="D1809" s="1">
        <v>101429</v>
      </c>
      <c r="E1809" s="0" t="inlineStr">
        <is>
          <t>NIXON:101429E-2XL</t>
        </is>
      </c>
      <c r="G1809" s="0" t="inlineStr">
        <is>
          <t>MENS</t>
        </is>
      </c>
      <c r="H1809" s="0" t="inlineStr">
        <is>
          <t>2XL</t>
        </is>
      </c>
      <c r="I1809" s="0">
        <v>44.99</v>
      </c>
      <c r="J1809" s="0">
        <v>50</v>
      </c>
    </row>
    <row r="1810" spans="1:10" customHeight="0">
      <c r="A1810" s="0">
        <f>HYPERLINK("https://dl.dropboxusercontent.com/scl/fi/a5xq2q48i70yxmuha2sp7/101429-nixon-mens-performance-polo-thumbnail.jpg?rlkey=1oznlo0mx25r9b5kitd0b6yzh&amp;dl=0","Click to download Image")</f>
      </c>
      <c r="C1810" s="0" t="inlineStr">
        <is>
          <t>Nixon Men's Performance Polo</t>
        </is>
      </c>
      <c r="D1810" s="1">
        <v>101429</v>
      </c>
      <c r="E1810" s="0" t="inlineStr">
        <is>
          <t>NIXON:101429F-3XL</t>
        </is>
      </c>
      <c r="G1810" s="0" t="inlineStr">
        <is>
          <t>MENS</t>
        </is>
      </c>
      <c r="H1810" s="0" t="inlineStr">
        <is>
          <t>3XL</t>
        </is>
      </c>
      <c r="I1810" s="0">
        <v>44.99</v>
      </c>
      <c r="J1810" s="0">
        <v>20</v>
      </c>
    </row>
    <row r="1811" spans="1:10" customHeight="0">
      <c r="A1811" s="0">
        <f>HYPERLINK("https://dl.dropboxusercontent.com/scl/fi/b43fdkfw8m31zjhc6843g/112991-af.jpg?rlkey=7s13scfygm3nlk3j403nq6d4e&amp;dl=0","Click to download Image")</f>
      </c>
      <c r="B1811" s="0">
        <f>HYPERLINK("https://dl.dropboxusercontent.com/scl/fi/f7v0fkuouipuobnch6j2l/mens-pullover-size-chartssilas.jpg?rlkey=08tg7uymfgtsw5nre839tyoov&amp;dl=0","Click to download SizeChart")</f>
      </c>
      <c r="C1811" s="0" t="inlineStr">
        <is>
          <t>Silas Men's Lightweight 1/4 Pullover</t>
        </is>
      </c>
      <c r="D1811" s="1">
        <v>112991</v>
      </c>
      <c r="E1811" s="0" t="inlineStr">
        <is>
          <t>IOWA SILAS M BLACK:112991A-S</t>
        </is>
      </c>
      <c r="F1811" s="2">
        <v>800112991049</v>
      </c>
      <c r="G1811" s="0" t="inlineStr">
        <is>
          <t>MENS</t>
        </is>
      </c>
      <c r="H1811" s="0" t="inlineStr">
        <is>
          <t>S</t>
        </is>
      </c>
      <c r="I1811" s="0">
        <v>39.99</v>
      </c>
      <c r="J1811" s="0">
        <v>7</v>
      </c>
    </row>
    <row r="1812" spans="1:10" customHeight="0">
      <c r="A1812" s="0">
        <f>HYPERLINK("https://dl.dropboxusercontent.com/scl/fi/b43fdkfw8m31zjhc6843g/112991-af.jpg?rlkey=7s13scfygm3nlk3j403nq6d4e&amp;dl=0","Click to download Image")</f>
      </c>
      <c r="B1812" s="0">
        <f>HYPERLINK("https://dl.dropboxusercontent.com/scl/fi/f7v0fkuouipuobnch6j2l/mens-pullover-size-chartssilas.jpg?rlkey=08tg7uymfgtsw5nre839tyoov&amp;dl=0","Click to download SizeChart")</f>
      </c>
      <c r="C1812" s="0" t="inlineStr">
        <is>
          <t>Silas Men's Lightweight 1/4 Pullover</t>
        </is>
      </c>
      <c r="D1812" s="1">
        <v>112991</v>
      </c>
      <c r="E1812" s="0" t="inlineStr">
        <is>
          <t>IOWA SILAS M BLACK:112991B-M</t>
        </is>
      </c>
      <c r="F1812" s="2">
        <v>800112991056</v>
      </c>
      <c r="G1812" s="0" t="inlineStr">
        <is>
          <t>MENS</t>
        </is>
      </c>
      <c r="H1812" s="0" t="inlineStr">
        <is>
          <t>M</t>
        </is>
      </c>
      <c r="I1812" s="0">
        <v>39.99</v>
      </c>
      <c r="J1812" s="0">
        <v>5</v>
      </c>
    </row>
    <row r="1813" spans="1:10" customHeight="0">
      <c r="A1813" s="0">
        <f>HYPERLINK("https://dl.dropboxusercontent.com/scl/fi/b43fdkfw8m31zjhc6843g/112991-af.jpg?rlkey=7s13scfygm3nlk3j403nq6d4e&amp;dl=0","Click to download Image")</f>
      </c>
      <c r="B1813" s="0">
        <f>HYPERLINK("https://dl.dropboxusercontent.com/scl/fi/f7v0fkuouipuobnch6j2l/mens-pullover-size-chartssilas.jpg?rlkey=08tg7uymfgtsw5nre839tyoov&amp;dl=0","Click to download SizeChart")</f>
      </c>
      <c r="C1813" s="0" t="inlineStr">
        <is>
          <t>Silas Men's Lightweight 1/4 Pullover</t>
        </is>
      </c>
      <c r="D1813" s="1">
        <v>112991</v>
      </c>
      <c r="E1813" s="0" t="inlineStr">
        <is>
          <t>IOWA SILAS M BLACK:112991C-L</t>
        </is>
      </c>
      <c r="F1813" s="2">
        <v>800112991063</v>
      </c>
      <c r="G1813" s="0" t="inlineStr">
        <is>
          <t>MENS</t>
        </is>
      </c>
      <c r="H1813" s="0" t="inlineStr">
        <is>
          <t>L</t>
        </is>
      </c>
      <c r="I1813" s="0">
        <v>39.99</v>
      </c>
      <c r="J1813" s="0">
        <v>0</v>
      </c>
    </row>
    <row r="1814" spans="1:10" customHeight="0">
      <c r="A1814" s="0">
        <f>HYPERLINK("https://dl.dropboxusercontent.com/scl/fi/b43fdkfw8m31zjhc6843g/112991-af.jpg?rlkey=7s13scfygm3nlk3j403nq6d4e&amp;dl=0","Click to download Image")</f>
      </c>
      <c r="B1814" s="0">
        <f>HYPERLINK("https://dl.dropboxusercontent.com/scl/fi/f7v0fkuouipuobnch6j2l/mens-pullover-size-chartssilas.jpg?rlkey=08tg7uymfgtsw5nre839tyoov&amp;dl=0","Click to download SizeChart")</f>
      </c>
      <c r="C1814" s="0" t="inlineStr">
        <is>
          <t>Silas Men's Lightweight 1/4 Pullover</t>
        </is>
      </c>
      <c r="D1814" s="1">
        <v>112991</v>
      </c>
      <c r="E1814" s="0" t="inlineStr">
        <is>
          <t>IOWA SILAS M BLACK:112991D-XL</t>
        </is>
      </c>
      <c r="F1814" s="2">
        <v>800112991070</v>
      </c>
      <c r="G1814" s="0" t="inlineStr">
        <is>
          <t>MENS</t>
        </is>
      </c>
      <c r="H1814" s="0" t="inlineStr">
        <is>
          <t>XL</t>
        </is>
      </c>
      <c r="I1814" s="0">
        <v>39.99</v>
      </c>
      <c r="J1814" s="0">
        <v>0</v>
      </c>
    </row>
    <row r="1815" spans="1:10" customHeight="0">
      <c r="A1815" s="0">
        <f>HYPERLINK("https://dl.dropboxusercontent.com/scl/fi/b43fdkfw8m31zjhc6843g/112991-af.jpg?rlkey=7s13scfygm3nlk3j403nq6d4e&amp;dl=0","Click to download Image")</f>
      </c>
      <c r="B1815" s="0">
        <f>HYPERLINK("https://dl.dropboxusercontent.com/scl/fi/f7v0fkuouipuobnch6j2l/mens-pullover-size-chartssilas.jpg?rlkey=08tg7uymfgtsw5nre839tyoov&amp;dl=0","Click to download SizeChart")</f>
      </c>
      <c r="C1815" s="0" t="inlineStr">
        <is>
          <t>Silas Men's Lightweight 1/4 Pullover</t>
        </is>
      </c>
      <c r="D1815" s="1">
        <v>112991</v>
      </c>
      <c r="E1815" s="0" t="inlineStr">
        <is>
          <t>IOWA SILAS M BLACK:112991E-2XL</t>
        </is>
      </c>
      <c r="F1815" s="2">
        <v>800112991087</v>
      </c>
      <c r="G1815" s="0" t="inlineStr">
        <is>
          <t>MENS</t>
        </is>
      </c>
      <c r="H1815" s="0" t="inlineStr">
        <is>
          <t>2XL</t>
        </is>
      </c>
      <c r="I1815" s="0">
        <v>41.99</v>
      </c>
      <c r="J1815" s="0">
        <v>0</v>
      </c>
    </row>
    <row r="1816" spans="1:10" customHeight="0">
      <c r="A1816" s="0">
        <f>HYPERLINK("https://dl.dropboxusercontent.com/scl/fi/b43fdkfw8m31zjhc6843g/112991-af.jpg?rlkey=7s13scfygm3nlk3j403nq6d4e&amp;dl=0","Click to download Image")</f>
      </c>
      <c r="B1816" s="0">
        <f>HYPERLINK("https://dl.dropboxusercontent.com/scl/fi/f7v0fkuouipuobnch6j2l/mens-pullover-size-chartssilas.jpg?rlkey=08tg7uymfgtsw5nre839tyoov&amp;dl=0","Click to download SizeChart")</f>
      </c>
      <c r="C1816" s="0" t="inlineStr">
        <is>
          <t>Silas Men's Lightweight 1/4 Pullover</t>
        </is>
      </c>
      <c r="D1816" s="1">
        <v>112991</v>
      </c>
      <c r="E1816" s="0" t="inlineStr">
        <is>
          <t>IOWA SILAS M BLACK:112991F-3XL</t>
        </is>
      </c>
      <c r="F1816" s="2">
        <v>800112991094</v>
      </c>
      <c r="G1816" s="0" t="inlineStr">
        <is>
          <t>MENS</t>
        </is>
      </c>
      <c r="H1816" s="0" t="inlineStr">
        <is>
          <t>3XL</t>
        </is>
      </c>
      <c r="I1816" s="0">
        <v>41.99</v>
      </c>
      <c r="J1816" s="0">
        <v>0</v>
      </c>
    </row>
    <row r="1817" spans="1:10" customHeight="0">
      <c r="A1817" s="0">
        <f>HYPERLINK("https://dl.dropboxusercontent.com/scl/fi/b43fdkfw8m31zjhc6843g/112991-af.jpg?rlkey=7s13scfygm3nlk3j403nq6d4e&amp;dl=0","Click to download Image")</f>
      </c>
      <c r="B1817" s="0">
        <f>HYPERLINK("https://dl.dropboxusercontent.com/scl/fi/f7v0fkuouipuobnch6j2l/mens-pullover-size-chartssilas.jpg?rlkey=08tg7uymfgtsw5nre839tyoov&amp;dl=0","Click to download SizeChart")</f>
      </c>
      <c r="C1817" s="0" t="inlineStr">
        <is>
          <t>Silas Men's Lightweight 1/4 Pullover</t>
        </is>
      </c>
      <c r="D1817" s="1">
        <v>112991</v>
      </c>
      <c r="E1817" s="0" t="inlineStr">
        <is>
          <t>IOWA SILAS M BLACK 12 PACK:112991Z-12PK</t>
        </is>
      </c>
      <c r="F1817" s="2">
        <v>800112991995</v>
      </c>
      <c r="G1817" s="0" t="inlineStr">
        <is>
          <t>MENS</t>
        </is>
      </c>
      <c r="H1817" s="0" t="inlineStr">
        <is>
          <t>12 PACK</t>
        </is>
      </c>
      <c r="I1817" s="0">
        <v>390</v>
      </c>
      <c r="J1817" s="0">
        <v>0</v>
      </c>
    </row>
    <row r="1818" spans="1:10" customHeight="0">
      <c r="A1818" s="0">
        <f>HYPERLINK("https://dl.dropboxusercontent.com/scl/fi/8bukgssp8f8kk2diapd4g/95396af.jpg?rlkey=12jb773xtwput9jppuyicrg7e&amp;dl=0","Click to download Image")</f>
      </c>
      <c r="B1818" s="0">
        <f>HYPERLINK("https://dl.dropboxusercontent.com/scl/fi/y70rij4u76p8djex90ehz/mens-d.jpg?rlkey=itylallsjmwvgod5juez2cmtn&amp;dl=0","Click to download SizeChart")</f>
      </c>
      <c r="C1818" s="0" t="inlineStr">
        <is>
          <t>Cole Men's Windbreaker Jacket</t>
        </is>
      </c>
      <c r="D1818" s="1">
        <v>95396</v>
      </c>
      <c r="E1818" s="0" t="inlineStr">
        <is>
          <t>COLE:95396A-S</t>
        </is>
      </c>
      <c r="F1818" s="2">
        <v>800095396015</v>
      </c>
      <c r="G1818" s="0" t="inlineStr">
        <is>
          <t>MENS</t>
        </is>
      </c>
      <c r="H1818" s="0" t="inlineStr">
        <is>
          <t>S</t>
        </is>
      </c>
      <c r="I1818" s="0">
        <v>59.99</v>
      </c>
      <c r="J1818" s="0">
        <v>14</v>
      </c>
    </row>
    <row r="1819" spans="1:10" customHeight="0">
      <c r="A1819" s="0">
        <f>HYPERLINK("https://dl.dropboxusercontent.com/scl/fi/8bukgssp8f8kk2diapd4g/95396af.jpg?rlkey=12jb773xtwput9jppuyicrg7e&amp;dl=0","Click to download Image")</f>
      </c>
      <c r="B1819" s="0">
        <f>HYPERLINK("https://dl.dropboxusercontent.com/scl/fi/y70rij4u76p8djex90ehz/mens-d.jpg?rlkey=itylallsjmwvgod5juez2cmtn&amp;dl=0","Click to download SizeChart")</f>
      </c>
      <c r="C1819" s="0" t="inlineStr">
        <is>
          <t>Cole Men's Windbreaker Jacket</t>
        </is>
      </c>
      <c r="D1819" s="1">
        <v>95396</v>
      </c>
      <c r="E1819" s="0" t="inlineStr">
        <is>
          <t>COLE:95396B-M</t>
        </is>
      </c>
      <c r="F1819" s="2">
        <v>800095396022</v>
      </c>
      <c r="G1819" s="0" t="inlineStr">
        <is>
          <t>MENS</t>
        </is>
      </c>
      <c r="H1819" s="0" t="inlineStr">
        <is>
          <t>M</t>
        </is>
      </c>
      <c r="I1819" s="0">
        <v>59.99</v>
      </c>
      <c r="J1819" s="0">
        <v>23</v>
      </c>
    </row>
    <row r="1820" spans="1:10" customHeight="0">
      <c r="A1820" s="0">
        <f>HYPERLINK("https://dl.dropboxusercontent.com/scl/fi/8bukgssp8f8kk2diapd4g/95396af.jpg?rlkey=12jb773xtwput9jppuyicrg7e&amp;dl=0","Click to download Image")</f>
      </c>
      <c r="B1820" s="0">
        <f>HYPERLINK("https://dl.dropboxusercontent.com/scl/fi/y70rij4u76p8djex90ehz/mens-d.jpg?rlkey=itylallsjmwvgod5juez2cmtn&amp;dl=0","Click to download SizeChart")</f>
      </c>
      <c r="C1820" s="0" t="inlineStr">
        <is>
          <t>Cole Men's Windbreaker Jacket</t>
        </is>
      </c>
      <c r="D1820" s="1">
        <v>95396</v>
      </c>
      <c r="E1820" s="0" t="inlineStr">
        <is>
          <t>COLE:95396C-L</t>
        </is>
      </c>
      <c r="F1820" s="2">
        <v>800095396039</v>
      </c>
      <c r="G1820" s="0" t="inlineStr">
        <is>
          <t>MENS</t>
        </is>
      </c>
      <c r="H1820" s="0" t="inlineStr">
        <is>
          <t>L</t>
        </is>
      </c>
      <c r="I1820" s="0">
        <v>59.99</v>
      </c>
      <c r="J1820" s="0">
        <v>38</v>
      </c>
    </row>
    <row r="1821" spans="1:10" customHeight="0">
      <c r="A1821" s="0">
        <f>HYPERLINK("https://dl.dropboxusercontent.com/scl/fi/8bukgssp8f8kk2diapd4g/95396af.jpg?rlkey=12jb773xtwput9jppuyicrg7e&amp;dl=0","Click to download Image")</f>
      </c>
      <c r="B1821" s="0">
        <f>HYPERLINK("https://dl.dropboxusercontent.com/scl/fi/y70rij4u76p8djex90ehz/mens-d.jpg?rlkey=itylallsjmwvgod5juez2cmtn&amp;dl=0","Click to download SizeChart")</f>
      </c>
      <c r="C1821" s="0" t="inlineStr">
        <is>
          <t>Cole Men's Windbreaker Jacket</t>
        </is>
      </c>
      <c r="D1821" s="1">
        <v>95396</v>
      </c>
      <c r="E1821" s="0" t="inlineStr">
        <is>
          <t>COLE:95396D-XL</t>
        </is>
      </c>
      <c r="F1821" s="2">
        <v>800095396046</v>
      </c>
      <c r="G1821" s="0" t="inlineStr">
        <is>
          <t>MENS</t>
        </is>
      </c>
      <c r="H1821" s="0" t="inlineStr">
        <is>
          <t>XL</t>
        </is>
      </c>
      <c r="I1821" s="0">
        <v>59.99</v>
      </c>
      <c r="J1821" s="0">
        <v>37</v>
      </c>
    </row>
    <row r="1822" spans="1:10" customHeight="0">
      <c r="A1822" s="0">
        <f>HYPERLINK("https://dl.dropboxusercontent.com/scl/fi/8bukgssp8f8kk2diapd4g/95396af.jpg?rlkey=12jb773xtwput9jppuyicrg7e&amp;dl=0","Click to download Image")</f>
      </c>
      <c r="B1822" s="0">
        <f>HYPERLINK("https://dl.dropboxusercontent.com/scl/fi/y70rij4u76p8djex90ehz/mens-d.jpg?rlkey=itylallsjmwvgod5juez2cmtn&amp;dl=0","Click to download SizeChart")</f>
      </c>
      <c r="C1822" s="0" t="inlineStr">
        <is>
          <t>Cole Men's Windbreaker Jacket</t>
        </is>
      </c>
      <c r="D1822" s="1">
        <v>95396</v>
      </c>
      <c r="E1822" s="0" t="inlineStr">
        <is>
          <t>COLE:95396E-2X</t>
        </is>
      </c>
      <c r="F1822" s="2">
        <v>800095396053</v>
      </c>
      <c r="G1822" s="0" t="inlineStr">
        <is>
          <t>MENS</t>
        </is>
      </c>
      <c r="H1822" s="0" t="inlineStr">
        <is>
          <t>2XL</t>
        </is>
      </c>
      <c r="I1822" s="0">
        <v>61.99</v>
      </c>
      <c r="J1822" s="0">
        <v>8</v>
      </c>
    </row>
    <row r="1823" spans="1:10" customHeight="0">
      <c r="A1823" s="0">
        <f>HYPERLINK("https://dl.dropboxusercontent.com/scl/fi/8bukgssp8f8kk2diapd4g/95396af.jpg?rlkey=12jb773xtwput9jppuyicrg7e&amp;dl=0","Click to download Image")</f>
      </c>
      <c r="B1823" s="0">
        <f>HYPERLINK("https://dl.dropboxusercontent.com/scl/fi/y70rij4u76p8djex90ehz/mens-d.jpg?rlkey=itylallsjmwvgod5juez2cmtn&amp;dl=0","Click to download SizeChart")</f>
      </c>
      <c r="C1823" s="0" t="inlineStr">
        <is>
          <t>Cole Men's Windbreaker Jacket</t>
        </is>
      </c>
      <c r="D1823" s="1">
        <v>95396</v>
      </c>
      <c r="E1823" s="0" t="inlineStr">
        <is>
          <t>COLE:95396F-3X</t>
        </is>
      </c>
      <c r="F1823" s="2">
        <v>800095396060</v>
      </c>
      <c r="G1823" s="0" t="inlineStr">
        <is>
          <t>MENS</t>
        </is>
      </c>
      <c r="H1823" s="0" t="inlineStr">
        <is>
          <t>3XL</t>
        </is>
      </c>
      <c r="I1823" s="0">
        <v>61.99</v>
      </c>
      <c r="J1823" s="0">
        <v>0</v>
      </c>
    </row>
    <row r="1824" spans="1:10" customHeight="0">
      <c r="A1824" s="0">
        <f>HYPERLINK("https://dl.dropboxusercontent.com/scl/fi/7mog9odr3odq8524xcs2a/98665f.jpg?rlkey=er6zqrathx19ood4f1wbjqs1c&amp;dl=0","Click to download Image")</f>
      </c>
      <c r="B1824" s="0">
        <f>HYPERLINK("https://dl.dropboxusercontent.com/scl/fi/wdg4vkfg1q4y1444cjh9a/graphic-update2022-mens.jpg?rlkey=qr7viz187c69oz7tl90uj469u&amp;dl=0","Click to download SizeChart")</f>
      </c>
      <c r="C1824" s="0" t="inlineStr">
        <is>
          <t>Andrew Men's Full Zip Hoodie</t>
        </is>
      </c>
      <c r="D1824" s="1">
        <v>98665</v>
      </c>
      <c r="E1824" s="0" t="inlineStr">
        <is>
          <t>ANDREW:98665A-S</t>
        </is>
      </c>
      <c r="G1824" s="0" t="inlineStr">
        <is>
          <t>MENS</t>
        </is>
      </c>
      <c r="H1824" s="0" t="inlineStr">
        <is>
          <t>S</t>
        </is>
      </c>
      <c r="I1824" s="0">
        <v>49.99</v>
      </c>
      <c r="J1824" s="0">
        <v>23</v>
      </c>
    </row>
    <row r="1825" spans="1:10" customHeight="0">
      <c r="A1825" s="0">
        <f>HYPERLINK("https://dl.dropboxusercontent.com/scl/fi/7mog9odr3odq8524xcs2a/98665f.jpg?rlkey=er6zqrathx19ood4f1wbjqs1c&amp;dl=0","Click to download Image")</f>
      </c>
      <c r="B1825" s="0">
        <f>HYPERLINK("https://dl.dropboxusercontent.com/scl/fi/wdg4vkfg1q4y1444cjh9a/graphic-update2022-mens.jpg?rlkey=qr7viz187c69oz7tl90uj469u&amp;dl=0","Click to download SizeChart")</f>
      </c>
      <c r="C1825" s="0" t="inlineStr">
        <is>
          <t>Andrew Men's Full Zip Hoodie</t>
        </is>
      </c>
      <c r="D1825" s="1">
        <v>98665</v>
      </c>
      <c r="E1825" s="0" t="inlineStr">
        <is>
          <t>ANDREW:98665B-M</t>
        </is>
      </c>
      <c r="G1825" s="0" t="inlineStr">
        <is>
          <t>MENS</t>
        </is>
      </c>
      <c r="H1825" s="0" t="inlineStr">
        <is>
          <t>M</t>
        </is>
      </c>
      <c r="I1825" s="0">
        <v>49.99</v>
      </c>
      <c r="J1825" s="0">
        <v>22</v>
      </c>
    </row>
    <row r="1826" spans="1:10" customHeight="0">
      <c r="A1826" s="0">
        <f>HYPERLINK("https://dl.dropboxusercontent.com/scl/fi/7mog9odr3odq8524xcs2a/98665f.jpg?rlkey=er6zqrathx19ood4f1wbjqs1c&amp;dl=0","Click to download Image")</f>
      </c>
      <c r="B1826" s="0">
        <f>HYPERLINK("https://dl.dropboxusercontent.com/scl/fi/wdg4vkfg1q4y1444cjh9a/graphic-update2022-mens.jpg?rlkey=qr7viz187c69oz7tl90uj469u&amp;dl=0","Click to download SizeChart")</f>
      </c>
      <c r="C1826" s="0" t="inlineStr">
        <is>
          <t>Andrew Men's Full Zip Hoodie</t>
        </is>
      </c>
      <c r="D1826" s="1">
        <v>98665</v>
      </c>
      <c r="E1826" s="0" t="inlineStr">
        <is>
          <t>ANDREW:98665C-L</t>
        </is>
      </c>
      <c r="G1826" s="0" t="inlineStr">
        <is>
          <t>MENS</t>
        </is>
      </c>
      <c r="H1826" s="0" t="inlineStr">
        <is>
          <t>L</t>
        </is>
      </c>
      <c r="I1826" s="0">
        <v>49.99</v>
      </c>
      <c r="J1826" s="0">
        <v>0</v>
      </c>
    </row>
    <row r="1827" spans="1:10" customHeight="0">
      <c r="A1827" s="0">
        <f>HYPERLINK("https://dl.dropboxusercontent.com/scl/fi/7mog9odr3odq8524xcs2a/98665f.jpg?rlkey=er6zqrathx19ood4f1wbjqs1c&amp;dl=0","Click to download Image")</f>
      </c>
      <c r="B1827" s="0">
        <f>HYPERLINK("https://dl.dropboxusercontent.com/scl/fi/wdg4vkfg1q4y1444cjh9a/graphic-update2022-mens.jpg?rlkey=qr7viz187c69oz7tl90uj469u&amp;dl=0","Click to download SizeChart")</f>
      </c>
      <c r="C1827" s="0" t="inlineStr">
        <is>
          <t>Andrew Men's Full Zip Hoodie</t>
        </is>
      </c>
      <c r="D1827" s="1">
        <v>98665</v>
      </c>
      <c r="E1827" s="0" t="inlineStr">
        <is>
          <t>ANDREW:98665D-XL</t>
        </is>
      </c>
      <c r="G1827" s="0" t="inlineStr">
        <is>
          <t>MENS</t>
        </is>
      </c>
      <c r="H1827" s="0" t="inlineStr">
        <is>
          <t>XL</t>
        </is>
      </c>
      <c r="I1827" s="0">
        <v>49.99</v>
      </c>
      <c r="J1827" s="0">
        <v>0</v>
      </c>
    </row>
    <row r="1828" spans="1:10" customHeight="0">
      <c r="A1828" s="0">
        <f>HYPERLINK("https://dl.dropboxusercontent.com/scl/fi/7mog9odr3odq8524xcs2a/98665f.jpg?rlkey=er6zqrathx19ood4f1wbjqs1c&amp;dl=0","Click to download Image")</f>
      </c>
      <c r="B1828" s="0">
        <f>HYPERLINK("https://dl.dropboxusercontent.com/scl/fi/wdg4vkfg1q4y1444cjh9a/graphic-update2022-mens.jpg?rlkey=qr7viz187c69oz7tl90uj469u&amp;dl=0","Click to download SizeChart")</f>
      </c>
      <c r="C1828" s="0" t="inlineStr">
        <is>
          <t>Andrew Men's Full Zip Hoodie</t>
        </is>
      </c>
      <c r="D1828" s="1">
        <v>98665</v>
      </c>
      <c r="E1828" s="0" t="inlineStr">
        <is>
          <t>ANDREW:98665E-2XL</t>
        </is>
      </c>
      <c r="G1828" s="0" t="inlineStr">
        <is>
          <t>MENS</t>
        </is>
      </c>
      <c r="H1828" s="0" t="inlineStr">
        <is>
          <t>2XL</t>
        </is>
      </c>
      <c r="I1828" s="0">
        <v>49.99</v>
      </c>
      <c r="J1828" s="0">
        <v>0</v>
      </c>
    </row>
    <row r="1829" spans="1:10" customHeight="0">
      <c r="A1829" s="0">
        <f>HYPERLINK("https://dl.dropboxusercontent.com/scl/fi/7mog9odr3odq8524xcs2a/98665f.jpg?rlkey=er6zqrathx19ood4f1wbjqs1c&amp;dl=0","Click to download Image")</f>
      </c>
      <c r="B1829" s="0">
        <f>HYPERLINK("https://dl.dropboxusercontent.com/scl/fi/wdg4vkfg1q4y1444cjh9a/graphic-update2022-mens.jpg?rlkey=qr7viz187c69oz7tl90uj469u&amp;dl=0","Click to download SizeChart")</f>
      </c>
      <c r="C1829" s="0" t="inlineStr">
        <is>
          <t>Andrew Men's Full Zip Hoodie</t>
        </is>
      </c>
      <c r="D1829" s="1">
        <v>98665</v>
      </c>
      <c r="E1829" s="0" t="inlineStr">
        <is>
          <t>ANDREW:98665F-3XL</t>
        </is>
      </c>
      <c r="G1829" s="0" t="inlineStr">
        <is>
          <t>MENS</t>
        </is>
      </c>
      <c r="H1829" s="0" t="inlineStr">
        <is>
          <t>3XL</t>
        </is>
      </c>
      <c r="I1829" s="0">
        <v>49.99</v>
      </c>
      <c r="J1829" s="0">
        <v>0</v>
      </c>
    </row>
    <row r="1830" spans="1:10" customHeight="0">
      <c r="A1830" s="0">
        <f>HYPERLINK("https://dl.dropboxusercontent.com/scl/fi/yeriyfjb4qx9558h4l299/96540af.jpg?rlkey=kyc262mcy2kc7zbluls8vsam8&amp;dl=0","Click to download Image")</f>
      </c>
      <c r="B1830" s="0">
        <f>HYPERLINK("https://dl.dropboxusercontent.com/scl/fi/rxwzgmjos79xvawlqqv2n/mens-c.jpg?rlkey=zxjuat9wt8qagmo85hwb41a78&amp;dl=0","Click to download SizeChart")</f>
      </c>
      <c r="C1830" s="0" t="inlineStr">
        <is>
          <t>Joshua Men's Long Sleeve Henley</t>
        </is>
      </c>
      <c r="D1830" s="1">
        <v>96540</v>
      </c>
      <c r="E1830" s="0" t="inlineStr">
        <is>
          <t>JOSHUA:96540A-S</t>
        </is>
      </c>
      <c r="G1830" s="0" t="inlineStr">
        <is>
          <t>MENS</t>
        </is>
      </c>
      <c r="H1830" s="0" t="inlineStr">
        <is>
          <t>S</t>
        </is>
      </c>
      <c r="I1830" s="0">
        <v>39.99</v>
      </c>
      <c r="J1830" s="0">
        <v>3</v>
      </c>
    </row>
    <row r="1831" spans="1:10" customHeight="0">
      <c r="A1831" s="0">
        <f>HYPERLINK("https://dl.dropboxusercontent.com/scl/fi/yeriyfjb4qx9558h4l299/96540af.jpg?rlkey=kyc262mcy2kc7zbluls8vsam8&amp;dl=0","Click to download Image")</f>
      </c>
      <c r="B1831" s="0">
        <f>HYPERLINK("https://dl.dropboxusercontent.com/scl/fi/rxwzgmjos79xvawlqqv2n/mens-c.jpg?rlkey=zxjuat9wt8qagmo85hwb41a78&amp;dl=0","Click to download SizeChart")</f>
      </c>
      <c r="C1831" s="0" t="inlineStr">
        <is>
          <t>Joshua Men's Long Sleeve Henley</t>
        </is>
      </c>
      <c r="D1831" s="1">
        <v>96540</v>
      </c>
      <c r="E1831" s="0" t="inlineStr">
        <is>
          <t>JOSHUA:96540B-M</t>
        </is>
      </c>
      <c r="G1831" s="0" t="inlineStr">
        <is>
          <t>MENS</t>
        </is>
      </c>
      <c r="H1831" s="0" t="inlineStr">
        <is>
          <t>M</t>
        </is>
      </c>
      <c r="I1831" s="0">
        <v>39.99</v>
      </c>
      <c r="J1831" s="0">
        <v>8</v>
      </c>
    </row>
    <row r="1832" spans="1:10" customHeight="0">
      <c r="A1832" s="0">
        <f>HYPERLINK("https://dl.dropboxusercontent.com/scl/fi/yeriyfjb4qx9558h4l299/96540af.jpg?rlkey=kyc262mcy2kc7zbluls8vsam8&amp;dl=0","Click to download Image")</f>
      </c>
      <c r="B1832" s="0">
        <f>HYPERLINK("https://dl.dropboxusercontent.com/scl/fi/rxwzgmjos79xvawlqqv2n/mens-c.jpg?rlkey=zxjuat9wt8qagmo85hwb41a78&amp;dl=0","Click to download SizeChart")</f>
      </c>
      <c r="C1832" s="0" t="inlineStr">
        <is>
          <t>Joshua Men's Long Sleeve Henley</t>
        </is>
      </c>
      <c r="D1832" s="1">
        <v>96540</v>
      </c>
      <c r="E1832" s="0" t="inlineStr">
        <is>
          <t>JOSHUA:96540C-L</t>
        </is>
      </c>
      <c r="G1832" s="0" t="inlineStr">
        <is>
          <t>MENS</t>
        </is>
      </c>
      <c r="H1832" s="0" t="inlineStr">
        <is>
          <t>L</t>
        </is>
      </c>
      <c r="I1832" s="0">
        <v>39.99</v>
      </c>
      <c r="J1832" s="0">
        <v>10</v>
      </c>
    </row>
    <row r="1833" spans="1:10" customHeight="0">
      <c r="A1833" s="0">
        <f>HYPERLINK("https://dl.dropboxusercontent.com/scl/fi/yeriyfjb4qx9558h4l299/96540af.jpg?rlkey=kyc262mcy2kc7zbluls8vsam8&amp;dl=0","Click to download Image")</f>
      </c>
      <c r="B1833" s="0">
        <f>HYPERLINK("https://dl.dropboxusercontent.com/scl/fi/rxwzgmjos79xvawlqqv2n/mens-c.jpg?rlkey=zxjuat9wt8qagmo85hwb41a78&amp;dl=0","Click to download SizeChart")</f>
      </c>
      <c r="C1833" s="0" t="inlineStr">
        <is>
          <t>Joshua Men's Long Sleeve Henley</t>
        </is>
      </c>
      <c r="D1833" s="1">
        <v>96540</v>
      </c>
      <c r="E1833" s="0" t="inlineStr">
        <is>
          <t>JOSHUA:96540D-XL</t>
        </is>
      </c>
      <c r="G1833" s="0" t="inlineStr">
        <is>
          <t>MENS</t>
        </is>
      </c>
      <c r="H1833" s="0" t="inlineStr">
        <is>
          <t>XL</t>
        </is>
      </c>
      <c r="I1833" s="0">
        <v>39.99</v>
      </c>
      <c r="J1833" s="0">
        <v>16</v>
      </c>
    </row>
    <row r="1834" spans="1:10" customHeight="0">
      <c r="A1834" s="0">
        <f>HYPERLINK("https://dl.dropboxusercontent.com/scl/fi/yeriyfjb4qx9558h4l299/96540af.jpg?rlkey=kyc262mcy2kc7zbluls8vsam8&amp;dl=0","Click to download Image")</f>
      </c>
      <c r="B1834" s="0">
        <f>HYPERLINK("https://dl.dropboxusercontent.com/scl/fi/rxwzgmjos79xvawlqqv2n/mens-c.jpg?rlkey=zxjuat9wt8qagmo85hwb41a78&amp;dl=0","Click to download SizeChart")</f>
      </c>
      <c r="C1834" s="0" t="inlineStr">
        <is>
          <t>Joshua Men's Long Sleeve Henley</t>
        </is>
      </c>
      <c r="D1834" s="1">
        <v>96540</v>
      </c>
      <c r="E1834" s="0" t="inlineStr">
        <is>
          <t>JOSHUA:96540E-2XL</t>
        </is>
      </c>
      <c r="G1834" s="0" t="inlineStr">
        <is>
          <t>MENS</t>
        </is>
      </c>
      <c r="H1834" s="0" t="inlineStr">
        <is>
          <t>2XL</t>
        </is>
      </c>
      <c r="I1834" s="0">
        <v>41.99</v>
      </c>
      <c r="J1834" s="0">
        <v>8</v>
      </c>
    </row>
    <row r="1835" spans="1:10" customHeight="0">
      <c r="A1835" s="0">
        <f>HYPERLINK("https://dl.dropboxusercontent.com/scl/fi/yeriyfjb4qx9558h4l299/96540af.jpg?rlkey=kyc262mcy2kc7zbluls8vsam8&amp;dl=0","Click to download Image")</f>
      </c>
      <c r="B1835" s="0">
        <f>HYPERLINK("https://dl.dropboxusercontent.com/scl/fi/rxwzgmjos79xvawlqqv2n/mens-c.jpg?rlkey=zxjuat9wt8qagmo85hwb41a78&amp;dl=0","Click to download SizeChart")</f>
      </c>
      <c r="C1835" s="0" t="inlineStr">
        <is>
          <t>Joshua Men's Long Sleeve Henley</t>
        </is>
      </c>
      <c r="D1835" s="1">
        <v>96540</v>
      </c>
      <c r="E1835" s="0" t="inlineStr">
        <is>
          <t>JOSHUA:96540F-3XL</t>
        </is>
      </c>
      <c r="G1835" s="0" t="inlineStr">
        <is>
          <t>MENS</t>
        </is>
      </c>
      <c r="H1835" s="0" t="inlineStr">
        <is>
          <t>3XL</t>
        </is>
      </c>
      <c r="I1835" s="0">
        <v>41.99</v>
      </c>
      <c r="J1835" s="0">
        <v>2</v>
      </c>
    </row>
    <row r="1836" spans="1:10" customHeight="0">
      <c r="A1836" s="0">
        <f>HYPERLINK("https://dl.dropboxusercontent.com/scl/fi/22lmfwehsmuezrseo6mwn/97031f.jpg?rlkey=329x7suaf22i940zv8jjkdmec&amp;dl=0","Click to download Image")</f>
      </c>
      <c r="B1836" s="0">
        <f>HYPERLINK("https://dl.dropboxusercontent.com/scl/fi/aw2wh0xk6q4dhxyi2wsdo/graphic-update2022-mens.jpg?rlkey=3uzrlbfz4jdlp97p0irzwje9l&amp;dl=0","Click to download SizeChart")</f>
      </c>
      <c r="C1836" s="0" t="inlineStr">
        <is>
          <t>Sanders Men's Midweight Hoodie</t>
        </is>
      </c>
      <c r="D1836" s="1">
        <v>97031</v>
      </c>
      <c r="E1836" s="0" t="inlineStr">
        <is>
          <t>SANDERS:97031A-S</t>
        </is>
      </c>
      <c r="G1836" s="0" t="inlineStr">
        <is>
          <t>MENS</t>
        </is>
      </c>
      <c r="H1836" s="0" t="inlineStr">
        <is>
          <t>S</t>
        </is>
      </c>
      <c r="I1836" s="0">
        <v>59.99</v>
      </c>
      <c r="J1836" s="0">
        <v>0</v>
      </c>
    </row>
    <row r="1837" spans="1:10" customHeight="0">
      <c r="A1837" s="0">
        <f>HYPERLINK("https://dl.dropboxusercontent.com/scl/fi/22lmfwehsmuezrseo6mwn/97031f.jpg?rlkey=329x7suaf22i940zv8jjkdmec&amp;dl=0","Click to download Image")</f>
      </c>
      <c r="B1837" s="0">
        <f>HYPERLINK("https://dl.dropboxusercontent.com/scl/fi/aw2wh0xk6q4dhxyi2wsdo/graphic-update2022-mens.jpg?rlkey=3uzrlbfz4jdlp97p0irzwje9l&amp;dl=0","Click to download SizeChart")</f>
      </c>
      <c r="C1837" s="0" t="inlineStr">
        <is>
          <t>Sanders Men's Midweight Hoodie</t>
        </is>
      </c>
      <c r="D1837" s="1">
        <v>97031</v>
      </c>
      <c r="E1837" s="0" t="inlineStr">
        <is>
          <t>SANDERS:97031B-M</t>
        </is>
      </c>
      <c r="G1837" s="0" t="inlineStr">
        <is>
          <t>MENS</t>
        </is>
      </c>
      <c r="H1837" s="0" t="inlineStr">
        <is>
          <t>M</t>
        </is>
      </c>
      <c r="I1837" s="0">
        <v>59.99</v>
      </c>
      <c r="J1837" s="0">
        <v>7</v>
      </c>
    </row>
    <row r="1838" spans="1:10" customHeight="0">
      <c r="A1838" s="0">
        <f>HYPERLINK("https://dl.dropboxusercontent.com/scl/fi/22lmfwehsmuezrseo6mwn/97031f.jpg?rlkey=329x7suaf22i940zv8jjkdmec&amp;dl=0","Click to download Image")</f>
      </c>
      <c r="B1838" s="0">
        <f>HYPERLINK("https://dl.dropboxusercontent.com/scl/fi/aw2wh0xk6q4dhxyi2wsdo/graphic-update2022-mens.jpg?rlkey=3uzrlbfz4jdlp97p0irzwje9l&amp;dl=0","Click to download SizeChart")</f>
      </c>
      <c r="C1838" s="0" t="inlineStr">
        <is>
          <t>Sanders Men's Midweight Hoodie</t>
        </is>
      </c>
      <c r="D1838" s="1">
        <v>97031</v>
      </c>
      <c r="E1838" s="0" t="inlineStr">
        <is>
          <t>SANDERS:97031C-L</t>
        </is>
      </c>
      <c r="G1838" s="0" t="inlineStr">
        <is>
          <t>MENS</t>
        </is>
      </c>
      <c r="H1838" s="0" t="inlineStr">
        <is>
          <t>L</t>
        </is>
      </c>
      <c r="I1838" s="0">
        <v>59.99</v>
      </c>
      <c r="J1838" s="0">
        <v>12</v>
      </c>
    </row>
    <row r="1839" spans="1:10" customHeight="0">
      <c r="A1839" s="0">
        <f>HYPERLINK("https://dl.dropboxusercontent.com/scl/fi/22lmfwehsmuezrseo6mwn/97031f.jpg?rlkey=329x7suaf22i940zv8jjkdmec&amp;dl=0","Click to download Image")</f>
      </c>
      <c r="B1839" s="0">
        <f>HYPERLINK("https://dl.dropboxusercontent.com/scl/fi/aw2wh0xk6q4dhxyi2wsdo/graphic-update2022-mens.jpg?rlkey=3uzrlbfz4jdlp97p0irzwje9l&amp;dl=0","Click to download SizeChart")</f>
      </c>
      <c r="C1839" s="0" t="inlineStr">
        <is>
          <t>Sanders Men's Midweight Hoodie</t>
        </is>
      </c>
      <c r="D1839" s="1">
        <v>97031</v>
      </c>
      <c r="E1839" s="0" t="inlineStr">
        <is>
          <t>SANDERS:97031D-XL</t>
        </is>
      </c>
      <c r="G1839" s="0" t="inlineStr">
        <is>
          <t>MENS</t>
        </is>
      </c>
      <c r="H1839" s="0" t="inlineStr">
        <is>
          <t>XL</t>
        </is>
      </c>
      <c r="I1839" s="0">
        <v>59.99</v>
      </c>
      <c r="J1839" s="0">
        <v>8</v>
      </c>
    </row>
    <row r="1840" spans="1:10" customHeight="0">
      <c r="A1840" s="0">
        <f>HYPERLINK("https://dl.dropboxusercontent.com/scl/fi/22lmfwehsmuezrseo6mwn/97031f.jpg?rlkey=329x7suaf22i940zv8jjkdmec&amp;dl=0","Click to download Image")</f>
      </c>
      <c r="B1840" s="0">
        <f>HYPERLINK("https://dl.dropboxusercontent.com/scl/fi/aw2wh0xk6q4dhxyi2wsdo/graphic-update2022-mens.jpg?rlkey=3uzrlbfz4jdlp97p0irzwje9l&amp;dl=0","Click to download SizeChart")</f>
      </c>
      <c r="C1840" s="0" t="inlineStr">
        <is>
          <t>Sanders Men's Midweight Hoodie</t>
        </is>
      </c>
      <c r="D1840" s="1">
        <v>97031</v>
      </c>
      <c r="E1840" s="0" t="inlineStr">
        <is>
          <t>SANDERS:97031E-2XL</t>
        </is>
      </c>
      <c r="G1840" s="0" t="inlineStr">
        <is>
          <t>MENS</t>
        </is>
      </c>
      <c r="H1840" s="0" t="inlineStr">
        <is>
          <t>2XL</t>
        </is>
      </c>
      <c r="I1840" s="0">
        <v>59.99</v>
      </c>
      <c r="J1840" s="0">
        <v>0</v>
      </c>
    </row>
    <row r="1841" spans="1:10" customHeight="0">
      <c r="A1841" s="0">
        <f>HYPERLINK("https://dl.dropboxusercontent.com/scl/fi/22lmfwehsmuezrseo6mwn/97031f.jpg?rlkey=329x7suaf22i940zv8jjkdmec&amp;dl=0","Click to download Image")</f>
      </c>
      <c r="B1841" s="0">
        <f>HYPERLINK("https://dl.dropboxusercontent.com/scl/fi/aw2wh0xk6q4dhxyi2wsdo/graphic-update2022-mens.jpg?rlkey=3uzrlbfz4jdlp97p0irzwje9l&amp;dl=0","Click to download SizeChart")</f>
      </c>
      <c r="C1841" s="0" t="inlineStr">
        <is>
          <t>Sanders Men's Midweight Hoodie</t>
        </is>
      </c>
      <c r="D1841" s="1">
        <v>97031</v>
      </c>
      <c r="E1841" s="0" t="inlineStr">
        <is>
          <t>SANDERS:97031F-3XL</t>
        </is>
      </c>
      <c r="G1841" s="0" t="inlineStr">
        <is>
          <t>MENS</t>
        </is>
      </c>
      <c r="H1841" s="0" t="inlineStr">
        <is>
          <t>3XL</t>
        </is>
      </c>
      <c r="I1841" s="0">
        <v>59.99</v>
      </c>
      <c r="J1841" s="0">
        <v>0</v>
      </c>
    </row>
    <row r="1842" spans="1:10" customHeight="0">
      <c r="A1842" s="0">
        <f>HYPERLINK("https://dl.dropboxusercontent.com/scl/fi/7cailuxb6fl719begbxg6/98674f.jpg?rlkey=du20hf3ii0rn2abvbzynvf8tn&amp;dl=0","Click to download Image")</f>
      </c>
      <c r="B1842" s="0">
        <f>HYPERLINK("https://dl.dropboxusercontent.com/scl/fi/rz8ag59j664tbmwstkhym/mens-d.jpg?rlkey=wzcp63oq8pd3x0akk3c9yqja5&amp;dl=0","Click to download SizeChart")</f>
      </c>
      <c r="C1842" s="0" t="inlineStr">
        <is>
          <t>Scott Men's Full Zip Fleece Jacket</t>
        </is>
      </c>
      <c r="D1842" s="0" t="inlineStr">
        <is>
          <t>98674A</t>
        </is>
      </c>
      <c r="E1842" s="0" t="inlineStr">
        <is>
          <t>SCOTT:98674A-S</t>
        </is>
      </c>
      <c r="G1842" s="0" t="inlineStr">
        <is>
          <t>MENS</t>
        </is>
      </c>
      <c r="H1842" s="0" t="inlineStr">
        <is>
          <t>S</t>
        </is>
      </c>
      <c r="I1842" s="0">
        <v>49.99</v>
      </c>
      <c r="J1842" s="0">
        <v>33</v>
      </c>
    </row>
    <row r="1843" spans="1:10" customHeight="0">
      <c r="A1843" s="0">
        <f>HYPERLINK("https://dl.dropboxusercontent.com/scl/fi/7cailuxb6fl719begbxg6/98674f.jpg?rlkey=du20hf3ii0rn2abvbzynvf8tn&amp;dl=0","Click to download Image")</f>
      </c>
      <c r="B1843" s="0">
        <f>HYPERLINK("https://dl.dropboxusercontent.com/scl/fi/rz8ag59j664tbmwstkhym/mens-d.jpg?rlkey=wzcp63oq8pd3x0akk3c9yqja5&amp;dl=0","Click to download SizeChart")</f>
      </c>
      <c r="C1843" s="0" t="inlineStr">
        <is>
          <t>Scott Men's Full Zip Fleece Jacket</t>
        </is>
      </c>
      <c r="D1843" s="0" t="inlineStr">
        <is>
          <t>98674A</t>
        </is>
      </c>
      <c r="E1843" s="0" t="inlineStr">
        <is>
          <t>SCOTT:98674B-M</t>
        </is>
      </c>
      <c r="G1843" s="0" t="inlineStr">
        <is>
          <t>MENS</t>
        </is>
      </c>
      <c r="H1843" s="0" t="inlineStr">
        <is>
          <t>M</t>
        </is>
      </c>
      <c r="I1843" s="0">
        <v>49.99</v>
      </c>
      <c r="J1843" s="0">
        <v>27</v>
      </c>
    </row>
    <row r="1844" spans="1:10" customHeight="0">
      <c r="A1844" s="0">
        <f>HYPERLINK("https://dl.dropboxusercontent.com/scl/fi/7cailuxb6fl719begbxg6/98674f.jpg?rlkey=du20hf3ii0rn2abvbzynvf8tn&amp;dl=0","Click to download Image")</f>
      </c>
      <c r="B1844" s="0">
        <f>HYPERLINK("https://dl.dropboxusercontent.com/scl/fi/rz8ag59j664tbmwstkhym/mens-d.jpg?rlkey=wzcp63oq8pd3x0akk3c9yqja5&amp;dl=0","Click to download SizeChart")</f>
      </c>
      <c r="C1844" s="0" t="inlineStr">
        <is>
          <t>Scott Men's Full Zip Fleece Jacket</t>
        </is>
      </c>
      <c r="D1844" s="0" t="inlineStr">
        <is>
          <t>98674A</t>
        </is>
      </c>
      <c r="E1844" s="0" t="inlineStr">
        <is>
          <t>SCOTT:98674C-L</t>
        </is>
      </c>
      <c r="G1844" s="0" t="inlineStr">
        <is>
          <t>MENS</t>
        </is>
      </c>
      <c r="H1844" s="0" t="inlineStr">
        <is>
          <t>L</t>
        </is>
      </c>
      <c r="I1844" s="0">
        <v>49.99</v>
      </c>
      <c r="J1844" s="0">
        <v>8</v>
      </c>
    </row>
    <row r="1845" spans="1:10" customHeight="0">
      <c r="A1845" s="0">
        <f>HYPERLINK("https://dl.dropboxusercontent.com/scl/fi/7cailuxb6fl719begbxg6/98674f.jpg?rlkey=du20hf3ii0rn2abvbzynvf8tn&amp;dl=0","Click to download Image")</f>
      </c>
      <c r="B1845" s="0">
        <f>HYPERLINK("https://dl.dropboxusercontent.com/scl/fi/rz8ag59j664tbmwstkhym/mens-d.jpg?rlkey=wzcp63oq8pd3x0akk3c9yqja5&amp;dl=0","Click to download SizeChart")</f>
      </c>
      <c r="C1845" s="0" t="inlineStr">
        <is>
          <t>Scott Men's Full Zip Fleece Jacket</t>
        </is>
      </c>
      <c r="D1845" s="0" t="inlineStr">
        <is>
          <t>98674A</t>
        </is>
      </c>
      <c r="E1845" s="0" t="inlineStr">
        <is>
          <t>SCOTT:98674D-XL</t>
        </is>
      </c>
      <c r="G1845" s="0" t="inlineStr">
        <is>
          <t>MENS</t>
        </is>
      </c>
      <c r="H1845" s="0" t="inlineStr">
        <is>
          <t>XL</t>
        </is>
      </c>
      <c r="I1845" s="0">
        <v>49.99</v>
      </c>
      <c r="J1845" s="0">
        <v>4</v>
      </c>
    </row>
    <row r="1846" spans="1:10" customHeight="0">
      <c r="A1846" s="0">
        <f>HYPERLINK("https://dl.dropboxusercontent.com/scl/fi/7cailuxb6fl719begbxg6/98674f.jpg?rlkey=du20hf3ii0rn2abvbzynvf8tn&amp;dl=0","Click to download Image")</f>
      </c>
      <c r="B1846" s="0">
        <f>HYPERLINK("https://dl.dropboxusercontent.com/scl/fi/rz8ag59j664tbmwstkhym/mens-d.jpg?rlkey=wzcp63oq8pd3x0akk3c9yqja5&amp;dl=0","Click to download SizeChart")</f>
      </c>
      <c r="C1846" s="0" t="inlineStr">
        <is>
          <t>Scott Men's Full Zip Fleece Jacket</t>
        </is>
      </c>
      <c r="D1846" s="0" t="inlineStr">
        <is>
          <t>98674A</t>
        </is>
      </c>
      <c r="E1846" s="0" t="inlineStr">
        <is>
          <t>SCOTT:98674E-2XL</t>
        </is>
      </c>
      <c r="G1846" s="0" t="inlineStr">
        <is>
          <t>MENS</t>
        </is>
      </c>
      <c r="H1846" s="0" t="inlineStr">
        <is>
          <t>2XL</t>
        </is>
      </c>
      <c r="I1846" s="0">
        <v>49.99</v>
      </c>
      <c r="J1846" s="0">
        <v>6</v>
      </c>
    </row>
    <row r="1847" spans="1:10" customHeight="0">
      <c r="A1847" s="0">
        <f>HYPERLINK("https://dl.dropboxusercontent.com/scl/fi/7cailuxb6fl719begbxg6/98674f.jpg?rlkey=du20hf3ii0rn2abvbzynvf8tn&amp;dl=0","Click to download Image")</f>
      </c>
      <c r="B1847" s="0">
        <f>HYPERLINK("https://dl.dropboxusercontent.com/scl/fi/rz8ag59j664tbmwstkhym/mens-d.jpg?rlkey=wzcp63oq8pd3x0akk3c9yqja5&amp;dl=0","Click to download SizeChart")</f>
      </c>
      <c r="C1847" s="0" t="inlineStr">
        <is>
          <t>Scott Men's Full Zip Fleece Jacket</t>
        </is>
      </c>
      <c r="D1847" s="0" t="inlineStr">
        <is>
          <t>98674A</t>
        </is>
      </c>
      <c r="E1847" s="0" t="inlineStr">
        <is>
          <t>SCOTT:98674F-3XL</t>
        </is>
      </c>
      <c r="G1847" s="0" t="inlineStr">
        <is>
          <t>MENS</t>
        </is>
      </c>
      <c r="H1847" s="0" t="inlineStr">
        <is>
          <t>3XL</t>
        </is>
      </c>
      <c r="I1847" s="0">
        <v>49.99</v>
      </c>
      <c r="J1847" s="0">
        <v>0</v>
      </c>
    </row>
    <row r="1848" spans="1:10" customHeight="0">
      <c r="A1848" s="0">
        <f>HYPERLINK("https://dl.dropboxusercontent.com/scl/fi/5hl4emp55yv29d056d193/99692af.jpg?rlkey=cpp1y5i7glquqnxs7rqpxw5v5&amp;dl=0","Click to download Image")</f>
      </c>
      <c r="B1848" s="0">
        <f>HYPERLINK("https://dl.dropboxusercontent.com/scl/fi/xlyp0u396gyg64p6s1z2r/graphic-update2022-womens.jpg?rlkey=h9vcfoty6d3msuk59utram24y&amp;dl=0","Click to download SizeChart")</f>
      </c>
      <c r="C1848" s="0" t="inlineStr">
        <is>
          <t>Maggie Women's Polo</t>
        </is>
      </c>
      <c r="D1848" s="1">
        <v>99692</v>
      </c>
      <c r="E1848" s="0" t="inlineStr">
        <is>
          <t>MAGGIE:99692A-S</t>
        </is>
      </c>
      <c r="G1848" s="0" t="inlineStr">
        <is>
          <t>WOMENS</t>
        </is>
      </c>
      <c r="H1848" s="0" t="inlineStr">
        <is>
          <t>S</t>
        </is>
      </c>
      <c r="I1848" s="0">
        <v>44.99</v>
      </c>
      <c r="J1848" s="0">
        <v>155</v>
      </c>
    </row>
    <row r="1849" spans="1:10" customHeight="0">
      <c r="A1849" s="0">
        <f>HYPERLINK("https://dl.dropboxusercontent.com/scl/fi/5hl4emp55yv29d056d193/99692af.jpg?rlkey=cpp1y5i7glquqnxs7rqpxw5v5&amp;dl=0","Click to download Image")</f>
      </c>
      <c r="B1849" s="0">
        <f>HYPERLINK("https://dl.dropboxusercontent.com/scl/fi/xlyp0u396gyg64p6s1z2r/graphic-update2022-womens.jpg?rlkey=h9vcfoty6d3msuk59utram24y&amp;dl=0","Click to download SizeChart")</f>
      </c>
      <c r="C1849" s="0" t="inlineStr">
        <is>
          <t>Maggie Women's Polo</t>
        </is>
      </c>
      <c r="D1849" s="1">
        <v>99692</v>
      </c>
      <c r="E1849" s="0" t="inlineStr">
        <is>
          <t>MAGGIE:99692B-M</t>
        </is>
      </c>
      <c r="G1849" s="0" t="inlineStr">
        <is>
          <t>WOMENS</t>
        </is>
      </c>
      <c r="H1849" s="0" t="inlineStr">
        <is>
          <t>M</t>
        </is>
      </c>
      <c r="I1849" s="0">
        <v>44.99</v>
      </c>
      <c r="J1849" s="0">
        <v>187</v>
      </c>
    </row>
    <row r="1850" spans="1:10" customHeight="0">
      <c r="A1850" s="0">
        <f>HYPERLINK("https://dl.dropboxusercontent.com/scl/fi/5hl4emp55yv29d056d193/99692af.jpg?rlkey=cpp1y5i7glquqnxs7rqpxw5v5&amp;dl=0","Click to download Image")</f>
      </c>
      <c r="B1850" s="0">
        <f>HYPERLINK("https://dl.dropboxusercontent.com/scl/fi/xlyp0u396gyg64p6s1z2r/graphic-update2022-womens.jpg?rlkey=h9vcfoty6d3msuk59utram24y&amp;dl=0","Click to download SizeChart")</f>
      </c>
      <c r="C1850" s="0" t="inlineStr">
        <is>
          <t>Maggie Women's Polo</t>
        </is>
      </c>
      <c r="D1850" s="1">
        <v>99692</v>
      </c>
      <c r="E1850" s="0" t="inlineStr">
        <is>
          <t>MAGGIE:99692C-L</t>
        </is>
      </c>
      <c r="G1850" s="0" t="inlineStr">
        <is>
          <t>WOMENS</t>
        </is>
      </c>
      <c r="H1850" s="0" t="inlineStr">
        <is>
          <t>L</t>
        </is>
      </c>
      <c r="I1850" s="0">
        <v>44.99</v>
      </c>
      <c r="J1850" s="0">
        <v>201</v>
      </c>
    </row>
    <row r="1851" spans="1:10" customHeight="0">
      <c r="A1851" s="0">
        <f>HYPERLINK("https://dl.dropboxusercontent.com/scl/fi/5hl4emp55yv29d056d193/99692af.jpg?rlkey=cpp1y5i7glquqnxs7rqpxw5v5&amp;dl=0","Click to download Image")</f>
      </c>
      <c r="B1851" s="0">
        <f>HYPERLINK("https://dl.dropboxusercontent.com/scl/fi/xlyp0u396gyg64p6s1z2r/graphic-update2022-womens.jpg?rlkey=h9vcfoty6d3msuk59utram24y&amp;dl=0","Click to download SizeChart")</f>
      </c>
      <c r="C1851" s="0" t="inlineStr">
        <is>
          <t>Maggie Women's Polo</t>
        </is>
      </c>
      <c r="D1851" s="1">
        <v>99692</v>
      </c>
      <c r="E1851" s="0" t="inlineStr">
        <is>
          <t>MAGGIE:99692D-XL</t>
        </is>
      </c>
      <c r="G1851" s="0" t="inlineStr">
        <is>
          <t>WOMENS</t>
        </is>
      </c>
      <c r="H1851" s="0" t="inlineStr">
        <is>
          <t>XL</t>
        </is>
      </c>
      <c r="I1851" s="0">
        <v>44.99</v>
      </c>
      <c r="J1851" s="0">
        <v>206</v>
      </c>
    </row>
    <row r="1852" spans="1:10" customHeight="0">
      <c r="A1852" s="0">
        <f>HYPERLINK("https://dl.dropboxusercontent.com/scl/fi/5hl4emp55yv29d056d193/99692af.jpg?rlkey=cpp1y5i7glquqnxs7rqpxw5v5&amp;dl=0","Click to download Image")</f>
      </c>
      <c r="B1852" s="0">
        <f>HYPERLINK("https://dl.dropboxusercontent.com/scl/fi/xlyp0u396gyg64p6s1z2r/graphic-update2022-womens.jpg?rlkey=h9vcfoty6d3msuk59utram24y&amp;dl=0","Click to download SizeChart")</f>
      </c>
      <c r="C1852" s="0" t="inlineStr">
        <is>
          <t>Maggie Women's Polo</t>
        </is>
      </c>
      <c r="D1852" s="1">
        <v>99692</v>
      </c>
      <c r="E1852" s="0" t="inlineStr">
        <is>
          <t>MAGGIE:99692E-2XL</t>
        </is>
      </c>
      <c r="G1852" s="0" t="inlineStr">
        <is>
          <t>WOMENS</t>
        </is>
      </c>
      <c r="H1852" s="0" t="inlineStr">
        <is>
          <t>2XL</t>
        </is>
      </c>
      <c r="I1852" s="0">
        <v>44.99</v>
      </c>
      <c r="J1852" s="0">
        <v>152</v>
      </c>
    </row>
    <row r="1853" spans="1:10" customHeight="0">
      <c r="A1853" s="0">
        <f>HYPERLINK("https://dl.dropboxusercontent.com/scl/fi/5hl4emp55yv29d056d193/99692af.jpg?rlkey=cpp1y5i7glquqnxs7rqpxw5v5&amp;dl=0","Click to download Image")</f>
      </c>
      <c r="B1853" s="0">
        <f>HYPERLINK("https://dl.dropboxusercontent.com/scl/fi/xlyp0u396gyg64p6s1z2r/graphic-update2022-womens.jpg?rlkey=h9vcfoty6d3msuk59utram24y&amp;dl=0","Click to download SizeChart")</f>
      </c>
      <c r="C1853" s="0" t="inlineStr">
        <is>
          <t>Maggie Women's Polo</t>
        </is>
      </c>
      <c r="D1853" s="1">
        <v>99692</v>
      </c>
      <c r="E1853" s="0" t="inlineStr">
        <is>
          <t>MAGGIE:99692F-3XL</t>
        </is>
      </c>
      <c r="G1853" s="0" t="inlineStr">
        <is>
          <t>WOMENS</t>
        </is>
      </c>
      <c r="H1853" s="0" t="inlineStr">
        <is>
          <t>3XL</t>
        </is>
      </c>
      <c r="I1853" s="0">
        <v>44.99</v>
      </c>
      <c r="J1853" s="0">
        <v>32</v>
      </c>
    </row>
    <row r="1854" spans="1:10" customHeight="0">
      <c r="A1854" s="0">
        <f>HYPERLINK("https://dl.dropboxusercontent.com/scl/fi/n8vl1as04htuzjvdomx5l/104375-af.jpg?rlkey=ohxeoonolq8bl4kswgivirv90&amp;dl=0","Click to download Image")</f>
      </c>
      <c r="B1854" s="0">
        <f>HYPERLINK("https://dl.dropboxusercontent.com/scl/fi/d1g3mfsuufqx1vka54nqn/graphic-update2022-womens.jpg?rlkey=7bac57f5i2qh9ztiksto4ncs4&amp;dl=0","Click to download SizeChart")</f>
      </c>
      <c r="C1854" s="0" t="inlineStr">
        <is>
          <t>Miranda Women's Snap Pullover</t>
        </is>
      </c>
      <c r="D1854" s="1">
        <v>104375</v>
      </c>
      <c r="E1854" s="0" t="inlineStr">
        <is>
          <t>MIRANDA:104375A-S</t>
        </is>
      </c>
      <c r="G1854" s="0" t="inlineStr">
        <is>
          <t>WOMENS</t>
        </is>
      </c>
      <c r="H1854" s="0" t="inlineStr">
        <is>
          <t>S</t>
        </is>
      </c>
      <c r="I1854" s="0">
        <v>54.99</v>
      </c>
      <c r="J1854" s="0">
        <v>85</v>
      </c>
    </row>
    <row r="1855" spans="1:10" customHeight="0">
      <c r="A1855" s="0">
        <f>HYPERLINK("https://dl.dropboxusercontent.com/scl/fi/n8vl1as04htuzjvdomx5l/104375-af.jpg?rlkey=ohxeoonolq8bl4kswgivirv90&amp;dl=0","Click to download Image")</f>
      </c>
      <c r="B1855" s="0">
        <f>HYPERLINK("https://dl.dropboxusercontent.com/scl/fi/d1g3mfsuufqx1vka54nqn/graphic-update2022-womens.jpg?rlkey=7bac57f5i2qh9ztiksto4ncs4&amp;dl=0","Click to download SizeChart")</f>
      </c>
      <c r="C1855" s="0" t="inlineStr">
        <is>
          <t>Miranda Women's Snap Pullover</t>
        </is>
      </c>
      <c r="D1855" s="1">
        <v>104375</v>
      </c>
      <c r="E1855" s="0" t="inlineStr">
        <is>
          <t>MIRANDA:104375B-M</t>
        </is>
      </c>
      <c r="G1855" s="0" t="inlineStr">
        <is>
          <t>WOMENS</t>
        </is>
      </c>
      <c r="H1855" s="0" t="inlineStr">
        <is>
          <t>M</t>
        </is>
      </c>
      <c r="I1855" s="0">
        <v>54.99</v>
      </c>
      <c r="J1855" s="0">
        <v>73</v>
      </c>
    </row>
    <row r="1856" spans="1:10" customHeight="0">
      <c r="A1856" s="0">
        <f>HYPERLINK("https://dl.dropboxusercontent.com/scl/fi/n8vl1as04htuzjvdomx5l/104375-af.jpg?rlkey=ohxeoonolq8bl4kswgivirv90&amp;dl=0","Click to download Image")</f>
      </c>
      <c r="B1856" s="0">
        <f>HYPERLINK("https://dl.dropboxusercontent.com/scl/fi/d1g3mfsuufqx1vka54nqn/graphic-update2022-womens.jpg?rlkey=7bac57f5i2qh9ztiksto4ncs4&amp;dl=0","Click to download SizeChart")</f>
      </c>
      <c r="C1856" s="0" t="inlineStr">
        <is>
          <t>Miranda Women's Snap Pullover</t>
        </is>
      </c>
      <c r="D1856" s="1">
        <v>104375</v>
      </c>
      <c r="E1856" s="0" t="inlineStr">
        <is>
          <t>MIRANDA:104375C-L</t>
        </is>
      </c>
      <c r="G1856" s="0" t="inlineStr">
        <is>
          <t>WOMENS</t>
        </is>
      </c>
      <c r="H1856" s="0" t="inlineStr">
        <is>
          <t>L</t>
        </is>
      </c>
      <c r="I1856" s="0">
        <v>54.99</v>
      </c>
      <c r="J1856" s="0">
        <v>69</v>
      </c>
    </row>
    <row r="1857" spans="1:10" customHeight="0">
      <c r="A1857" s="0">
        <f>HYPERLINK("https://dl.dropboxusercontent.com/scl/fi/n8vl1as04htuzjvdomx5l/104375-af.jpg?rlkey=ohxeoonolq8bl4kswgivirv90&amp;dl=0","Click to download Image")</f>
      </c>
      <c r="B1857" s="0">
        <f>HYPERLINK("https://dl.dropboxusercontent.com/scl/fi/d1g3mfsuufqx1vka54nqn/graphic-update2022-womens.jpg?rlkey=7bac57f5i2qh9ztiksto4ncs4&amp;dl=0","Click to download SizeChart")</f>
      </c>
      <c r="C1857" s="0" t="inlineStr">
        <is>
          <t>Miranda Women's Snap Pullover</t>
        </is>
      </c>
      <c r="D1857" s="1">
        <v>104375</v>
      </c>
      <c r="E1857" s="0" t="inlineStr">
        <is>
          <t>MIRANDA:104375D-XL</t>
        </is>
      </c>
      <c r="G1857" s="0" t="inlineStr">
        <is>
          <t>WOMENS</t>
        </is>
      </c>
      <c r="H1857" s="0" t="inlineStr">
        <is>
          <t>XL</t>
        </is>
      </c>
      <c r="I1857" s="0">
        <v>54.99</v>
      </c>
      <c r="J1857" s="0">
        <v>81</v>
      </c>
    </row>
    <row r="1858" spans="1:10" customHeight="0">
      <c r="A1858" s="0">
        <f>HYPERLINK("https://dl.dropboxusercontent.com/scl/fi/n8vl1as04htuzjvdomx5l/104375-af.jpg?rlkey=ohxeoonolq8bl4kswgivirv90&amp;dl=0","Click to download Image")</f>
      </c>
      <c r="B1858" s="0">
        <f>HYPERLINK("https://dl.dropboxusercontent.com/scl/fi/d1g3mfsuufqx1vka54nqn/graphic-update2022-womens.jpg?rlkey=7bac57f5i2qh9ztiksto4ncs4&amp;dl=0","Click to download SizeChart")</f>
      </c>
      <c r="C1858" s="0" t="inlineStr">
        <is>
          <t>Miranda Women's Snap Pullover</t>
        </is>
      </c>
      <c r="D1858" s="1">
        <v>104375</v>
      </c>
      <c r="E1858" s="0" t="inlineStr">
        <is>
          <t>MIRANDA:104375E-2XL</t>
        </is>
      </c>
      <c r="G1858" s="0" t="inlineStr">
        <is>
          <t>WOMENS</t>
        </is>
      </c>
      <c r="H1858" s="0" t="inlineStr">
        <is>
          <t>2XL</t>
        </is>
      </c>
      <c r="I1858" s="0">
        <v>54.99</v>
      </c>
      <c r="J1858" s="0">
        <v>70</v>
      </c>
    </row>
    <row r="1859" spans="1:10" customHeight="0">
      <c r="A1859" s="0">
        <f>HYPERLINK("https://dl.dropboxusercontent.com/scl/fi/n8vl1as04htuzjvdomx5l/104375-af.jpg?rlkey=ohxeoonolq8bl4kswgivirv90&amp;dl=0","Click to download Image")</f>
      </c>
      <c r="B1859" s="0">
        <f>HYPERLINK("https://dl.dropboxusercontent.com/scl/fi/d1g3mfsuufqx1vka54nqn/graphic-update2022-womens.jpg?rlkey=7bac57f5i2qh9ztiksto4ncs4&amp;dl=0","Click to download SizeChart")</f>
      </c>
      <c r="C1859" s="0" t="inlineStr">
        <is>
          <t>Miranda Women's Snap Pullover</t>
        </is>
      </c>
      <c r="D1859" s="1">
        <v>104375</v>
      </c>
      <c r="E1859" s="0" t="inlineStr">
        <is>
          <t>MIRANDA:104375F-3XL</t>
        </is>
      </c>
      <c r="G1859" s="0" t="inlineStr">
        <is>
          <t>WOMENS</t>
        </is>
      </c>
      <c r="H1859" s="0" t="inlineStr">
        <is>
          <t>3XL</t>
        </is>
      </c>
      <c r="I1859" s="0">
        <v>54.99</v>
      </c>
      <c r="J1859" s="0">
        <v>4</v>
      </c>
    </row>
    <row r="1860" spans="1:10" customHeight="0">
      <c r="A1860" s="0">
        <f>HYPERLINK("https://dl.dropboxusercontent.com/scl/fi/zwnvyfeh83rfa8e3ybn8b/jean35480.jpg?rlkey=qraz6jx0dr1kgguimfubyxq4q&amp;dl=0","Click to download Image")</f>
      </c>
      <c r="B1860" s="0">
        <f>HYPERLINK("https://dl.dropboxusercontent.com/scl/fi/creacb2ljlrei53cz0l17/graphic-update2022-womens.jpg?rlkey=6ypadd0ap4oi2rvak3sa7nj7w&amp;dl=0","Click to download SizeChart")</f>
      </c>
      <c r="C1860" s="0" t="inlineStr">
        <is>
          <t>Regan Women's Hooded Denim Jacket</t>
        </is>
      </c>
      <c r="D1860" s="1">
        <v>95446</v>
      </c>
      <c r="E1860" s="0" t="inlineStr">
        <is>
          <t>REGAN:95446A-S</t>
        </is>
      </c>
      <c r="G1860" s="0" t="inlineStr">
        <is>
          <t>WOMENS</t>
        </is>
      </c>
      <c r="H1860" s="0" t="inlineStr">
        <is>
          <t>S</t>
        </is>
      </c>
      <c r="I1860" s="0">
        <v>59.99</v>
      </c>
      <c r="J1860" s="0">
        <v>51</v>
      </c>
    </row>
    <row r="1861" spans="1:10" customHeight="0">
      <c r="A1861" s="0">
        <f>HYPERLINK("https://dl.dropboxusercontent.com/scl/fi/zwnvyfeh83rfa8e3ybn8b/jean35480.jpg?rlkey=qraz6jx0dr1kgguimfubyxq4q&amp;dl=0","Click to download Image")</f>
      </c>
      <c r="B1861" s="0">
        <f>HYPERLINK("https://dl.dropboxusercontent.com/scl/fi/creacb2ljlrei53cz0l17/graphic-update2022-womens.jpg?rlkey=6ypadd0ap4oi2rvak3sa7nj7w&amp;dl=0","Click to download SizeChart")</f>
      </c>
      <c r="C1861" s="0" t="inlineStr">
        <is>
          <t>Regan Women's Hooded Denim Jacket</t>
        </is>
      </c>
      <c r="D1861" s="1">
        <v>95446</v>
      </c>
      <c r="E1861" s="0" t="inlineStr">
        <is>
          <t>REGAN:95446B-M</t>
        </is>
      </c>
      <c r="G1861" s="0" t="inlineStr">
        <is>
          <t>WOMENS</t>
        </is>
      </c>
      <c r="H1861" s="0" t="inlineStr">
        <is>
          <t>M</t>
        </is>
      </c>
      <c r="I1861" s="0">
        <v>59.99</v>
      </c>
      <c r="J1861" s="0">
        <v>64</v>
      </c>
    </row>
    <row r="1862" spans="1:10" customHeight="0">
      <c r="A1862" s="0">
        <f>HYPERLINK("https://dl.dropboxusercontent.com/scl/fi/zwnvyfeh83rfa8e3ybn8b/jean35480.jpg?rlkey=qraz6jx0dr1kgguimfubyxq4q&amp;dl=0","Click to download Image")</f>
      </c>
      <c r="B1862" s="0">
        <f>HYPERLINK("https://dl.dropboxusercontent.com/scl/fi/creacb2ljlrei53cz0l17/graphic-update2022-womens.jpg?rlkey=6ypadd0ap4oi2rvak3sa7nj7w&amp;dl=0","Click to download SizeChart")</f>
      </c>
      <c r="C1862" s="0" t="inlineStr">
        <is>
          <t>Regan Women's Hooded Denim Jacket</t>
        </is>
      </c>
      <c r="D1862" s="1">
        <v>95446</v>
      </c>
      <c r="E1862" s="0" t="inlineStr">
        <is>
          <t>REGAN:95446C-L</t>
        </is>
      </c>
      <c r="G1862" s="0" t="inlineStr">
        <is>
          <t>WOMENS</t>
        </is>
      </c>
      <c r="H1862" s="0" t="inlineStr">
        <is>
          <t>L</t>
        </is>
      </c>
      <c r="I1862" s="0">
        <v>59.99</v>
      </c>
      <c r="J1862" s="0">
        <v>129</v>
      </c>
    </row>
    <row r="1863" spans="1:10" customHeight="0">
      <c r="A1863" s="0">
        <f>HYPERLINK("https://dl.dropboxusercontent.com/scl/fi/zwnvyfeh83rfa8e3ybn8b/jean35480.jpg?rlkey=qraz6jx0dr1kgguimfubyxq4q&amp;dl=0","Click to download Image")</f>
      </c>
      <c r="B1863" s="0">
        <f>HYPERLINK("https://dl.dropboxusercontent.com/scl/fi/creacb2ljlrei53cz0l17/graphic-update2022-womens.jpg?rlkey=6ypadd0ap4oi2rvak3sa7nj7w&amp;dl=0","Click to download SizeChart")</f>
      </c>
      <c r="C1863" s="0" t="inlineStr">
        <is>
          <t>Regan Women's Hooded Denim Jacket</t>
        </is>
      </c>
      <c r="D1863" s="1">
        <v>95446</v>
      </c>
      <c r="E1863" s="0" t="inlineStr">
        <is>
          <t>REGAN:95446D-XL</t>
        </is>
      </c>
      <c r="G1863" s="0" t="inlineStr">
        <is>
          <t>WOMENS</t>
        </is>
      </c>
      <c r="H1863" s="0" t="inlineStr">
        <is>
          <t>XL</t>
        </is>
      </c>
      <c r="I1863" s="0">
        <v>59.99</v>
      </c>
      <c r="J1863" s="0">
        <v>124</v>
      </c>
    </row>
    <row r="1864" spans="1:10" customHeight="0">
      <c r="A1864" s="0">
        <f>HYPERLINK("https://dl.dropboxusercontent.com/scl/fi/zwnvyfeh83rfa8e3ybn8b/jean35480.jpg?rlkey=qraz6jx0dr1kgguimfubyxq4q&amp;dl=0","Click to download Image")</f>
      </c>
      <c r="B1864" s="0">
        <f>HYPERLINK("https://dl.dropboxusercontent.com/scl/fi/creacb2ljlrei53cz0l17/graphic-update2022-womens.jpg?rlkey=6ypadd0ap4oi2rvak3sa7nj7w&amp;dl=0","Click to download SizeChart")</f>
      </c>
      <c r="C1864" s="0" t="inlineStr">
        <is>
          <t>Regan Women's Hooded Denim Jacket</t>
        </is>
      </c>
      <c r="D1864" s="1">
        <v>95446</v>
      </c>
      <c r="E1864" s="0" t="inlineStr">
        <is>
          <t>REGAN:95446E-2X</t>
        </is>
      </c>
      <c r="G1864" s="0" t="inlineStr">
        <is>
          <t>WOMENS</t>
        </is>
      </c>
      <c r="H1864" s="0" t="inlineStr">
        <is>
          <t>2XL</t>
        </is>
      </c>
      <c r="I1864" s="0">
        <v>59.99</v>
      </c>
      <c r="J1864" s="0">
        <v>43</v>
      </c>
    </row>
    <row r="1865" spans="1:10" customHeight="0">
      <c r="A1865" s="0">
        <f>HYPERLINK("https://dl.dropboxusercontent.com/scl/fi/yx3eccstkn7uzaqetfnhi/101410-af.jpg?rlkey=67mgxy2tjcrpw6yddko07wz7h&amp;dl=0","Click to download Image")</f>
      </c>
      <c r="B1865" s="0">
        <f>HYPERLINK("https://dl.dropboxusercontent.com/scl/fi/ctgy1qknn9x8t6qckitsz/womens-short-sleeve-size-chartspenny.jpg?rlkey=0hiv5fv8qgqs39d9wnswa8p4f&amp;dl=0","Click to download SizeChart")</f>
      </c>
      <c r="C1865" s="0" t="inlineStr">
        <is>
          <t>Penny Women's Short Sleeve Shirt</t>
        </is>
      </c>
      <c r="D1865" s="1">
        <v>101410</v>
      </c>
      <c r="E1865" s="0" t="inlineStr">
        <is>
          <t>PENNY:101410A-S</t>
        </is>
      </c>
      <c r="G1865" s="0" t="inlineStr">
        <is>
          <t>WOMENS</t>
        </is>
      </c>
      <c r="H1865" s="0" t="inlineStr">
        <is>
          <t>S</t>
        </is>
      </c>
      <c r="I1865" s="0">
        <v>32</v>
      </c>
      <c r="J1865" s="0">
        <v>20</v>
      </c>
    </row>
    <row r="1866" spans="1:10" customHeight="0">
      <c r="A1866" s="0">
        <f>HYPERLINK("https://dl.dropboxusercontent.com/scl/fi/yx3eccstkn7uzaqetfnhi/101410-af.jpg?rlkey=67mgxy2tjcrpw6yddko07wz7h&amp;dl=0","Click to download Image")</f>
      </c>
      <c r="B1866" s="0">
        <f>HYPERLINK("https://dl.dropboxusercontent.com/scl/fi/ctgy1qknn9x8t6qckitsz/womens-short-sleeve-size-chartspenny.jpg?rlkey=0hiv5fv8qgqs39d9wnswa8p4f&amp;dl=0","Click to download SizeChart")</f>
      </c>
      <c r="C1866" s="0" t="inlineStr">
        <is>
          <t>Penny Women's Short Sleeve Shirt</t>
        </is>
      </c>
      <c r="D1866" s="1">
        <v>101410</v>
      </c>
      <c r="E1866" s="0" t="inlineStr">
        <is>
          <t>PENNY:101410B-M</t>
        </is>
      </c>
      <c r="G1866" s="0" t="inlineStr">
        <is>
          <t>WOMENS</t>
        </is>
      </c>
      <c r="H1866" s="0" t="inlineStr">
        <is>
          <t>M</t>
        </is>
      </c>
      <c r="I1866" s="0">
        <v>32</v>
      </c>
      <c r="J1866" s="0">
        <v>0</v>
      </c>
    </row>
    <row r="1867" spans="1:10" customHeight="0">
      <c r="A1867" s="0">
        <f>HYPERLINK("https://dl.dropboxusercontent.com/scl/fi/yx3eccstkn7uzaqetfnhi/101410-af.jpg?rlkey=67mgxy2tjcrpw6yddko07wz7h&amp;dl=0","Click to download Image")</f>
      </c>
      <c r="B1867" s="0">
        <f>HYPERLINK("https://dl.dropboxusercontent.com/scl/fi/ctgy1qknn9x8t6qckitsz/womens-short-sleeve-size-chartspenny.jpg?rlkey=0hiv5fv8qgqs39d9wnswa8p4f&amp;dl=0","Click to download SizeChart")</f>
      </c>
      <c r="C1867" s="0" t="inlineStr">
        <is>
          <t>Penny Women's Short Sleeve Shirt</t>
        </is>
      </c>
      <c r="D1867" s="1">
        <v>101410</v>
      </c>
      <c r="E1867" s="0" t="inlineStr">
        <is>
          <t>PENNY:101410C-L</t>
        </is>
      </c>
      <c r="G1867" s="0" t="inlineStr">
        <is>
          <t>WOMENS</t>
        </is>
      </c>
      <c r="H1867" s="0" t="inlineStr">
        <is>
          <t>L</t>
        </is>
      </c>
      <c r="I1867" s="0">
        <v>32</v>
      </c>
      <c r="J1867" s="0">
        <v>0</v>
      </c>
    </row>
    <row r="1868" spans="1:10" customHeight="0">
      <c r="A1868" s="0">
        <f>HYPERLINK("https://dl.dropboxusercontent.com/scl/fi/yx3eccstkn7uzaqetfnhi/101410-af.jpg?rlkey=67mgxy2tjcrpw6yddko07wz7h&amp;dl=0","Click to download Image")</f>
      </c>
      <c r="B1868" s="0">
        <f>HYPERLINK("https://dl.dropboxusercontent.com/scl/fi/ctgy1qknn9x8t6qckitsz/womens-short-sleeve-size-chartspenny.jpg?rlkey=0hiv5fv8qgqs39d9wnswa8p4f&amp;dl=0","Click to download SizeChart")</f>
      </c>
      <c r="C1868" s="0" t="inlineStr">
        <is>
          <t>Penny Women's Short Sleeve Shirt</t>
        </is>
      </c>
      <c r="D1868" s="1">
        <v>101410</v>
      </c>
      <c r="E1868" s="0" t="inlineStr">
        <is>
          <t>PENNY:101410D-XL</t>
        </is>
      </c>
      <c r="G1868" s="0" t="inlineStr">
        <is>
          <t>WOMENS</t>
        </is>
      </c>
      <c r="H1868" s="0" t="inlineStr">
        <is>
          <t>XL</t>
        </is>
      </c>
      <c r="I1868" s="0">
        <v>32</v>
      </c>
      <c r="J1868" s="0">
        <v>24</v>
      </c>
    </row>
    <row r="1869" spans="1:10" customHeight="0">
      <c r="A1869" s="0">
        <f>HYPERLINK("https://dl.dropboxusercontent.com/scl/fi/yx3eccstkn7uzaqetfnhi/101410-af.jpg?rlkey=67mgxy2tjcrpw6yddko07wz7h&amp;dl=0","Click to download Image")</f>
      </c>
      <c r="B1869" s="0">
        <f>HYPERLINK("https://dl.dropboxusercontent.com/scl/fi/ctgy1qknn9x8t6qckitsz/womens-short-sleeve-size-chartspenny.jpg?rlkey=0hiv5fv8qgqs39d9wnswa8p4f&amp;dl=0","Click to download SizeChart")</f>
      </c>
      <c r="C1869" s="0" t="inlineStr">
        <is>
          <t>Penny Women's Short Sleeve Shirt</t>
        </is>
      </c>
      <c r="D1869" s="1">
        <v>101410</v>
      </c>
      <c r="E1869" s="0" t="inlineStr">
        <is>
          <t>PENNY:101410E-2XL</t>
        </is>
      </c>
      <c r="G1869" s="0" t="inlineStr">
        <is>
          <t>WOMENS</t>
        </is>
      </c>
      <c r="H1869" s="0" t="inlineStr">
        <is>
          <t>2XL</t>
        </is>
      </c>
      <c r="I1869" s="0">
        <v>34</v>
      </c>
      <c r="J1869" s="0">
        <v>40</v>
      </c>
    </row>
    <row r="1870" spans="1:10" customHeight="0">
      <c r="A1870" s="0">
        <f>HYPERLINK("https://dl.dropboxusercontent.com/scl/fi/yx3eccstkn7uzaqetfnhi/101410-af.jpg?rlkey=67mgxy2tjcrpw6yddko07wz7h&amp;dl=0","Click to download Image")</f>
      </c>
      <c r="B1870" s="0">
        <f>HYPERLINK("https://dl.dropboxusercontent.com/scl/fi/ctgy1qknn9x8t6qckitsz/womens-short-sleeve-size-chartspenny.jpg?rlkey=0hiv5fv8qgqs39d9wnswa8p4f&amp;dl=0","Click to download SizeChart")</f>
      </c>
      <c r="C1870" s="0" t="inlineStr">
        <is>
          <t>Penny Women's Short Sleeve Shirt</t>
        </is>
      </c>
      <c r="D1870" s="1">
        <v>101410</v>
      </c>
      <c r="E1870" s="0" t="inlineStr">
        <is>
          <t>PENNY:101410F-3XL</t>
        </is>
      </c>
      <c r="G1870" s="0" t="inlineStr">
        <is>
          <t>WOMENS</t>
        </is>
      </c>
      <c r="H1870" s="0" t="inlineStr">
        <is>
          <t>3XL</t>
        </is>
      </c>
      <c r="I1870" s="0">
        <v>34</v>
      </c>
      <c r="J1870" s="0">
        <v>0</v>
      </c>
    </row>
    <row r="1871" spans="1:10" customHeight="0">
      <c r="A1871" s="0">
        <f>HYPERLINK("https://dl.dropboxusercontent.com/scl/fi/6pyiohmzn7qtoza1du72u/99719af.jpg?rlkey=soggsl4bnvcfyff6yqk5xs8f3&amp;dl=0","Click to download Image")</f>
      </c>
      <c r="B1871" s="0">
        <f>HYPERLINK("https://dl.dropboxusercontent.com/scl/fi/wdetz8pbrkcvl1b83xzf6/graphic-update22022-youth.jpg?rlkey=b5t79nzm7uz55x3ttcg03esqw&amp;dl=0","Click to download SizeChart")</f>
      </c>
      <c r="C1871" s="0" t="inlineStr">
        <is>
          <t>Rowan Youth Fleece Jacket</t>
        </is>
      </c>
      <c r="D1871" s="1">
        <v>99719</v>
      </c>
      <c r="E1871" s="0" t="inlineStr">
        <is>
          <t>ROWAN:99719A-S</t>
        </is>
      </c>
      <c r="G1871" s="0" t="inlineStr">
        <is>
          <t>MENS</t>
        </is>
      </c>
      <c r="H1871" s="0" t="inlineStr">
        <is>
          <t>S</t>
        </is>
      </c>
      <c r="I1871" s="0">
        <v>54.99</v>
      </c>
      <c r="J1871" s="0">
        <v>97</v>
      </c>
    </row>
    <row r="1872" spans="1:10" customHeight="0">
      <c r="A1872" s="0">
        <f>HYPERLINK("https://dl.dropboxusercontent.com/scl/fi/6pyiohmzn7qtoza1du72u/99719af.jpg?rlkey=soggsl4bnvcfyff6yqk5xs8f3&amp;dl=0","Click to download Image")</f>
      </c>
      <c r="B1872" s="0">
        <f>HYPERLINK("https://dl.dropboxusercontent.com/scl/fi/wdetz8pbrkcvl1b83xzf6/graphic-update22022-youth.jpg?rlkey=b5t79nzm7uz55x3ttcg03esqw&amp;dl=0","Click to download SizeChart")</f>
      </c>
      <c r="C1872" s="0" t="inlineStr">
        <is>
          <t>Rowan Youth Fleece Jacket</t>
        </is>
      </c>
      <c r="D1872" s="1">
        <v>99719</v>
      </c>
      <c r="E1872" s="0" t="inlineStr">
        <is>
          <t>ROWAN:99719B-M</t>
        </is>
      </c>
      <c r="G1872" s="0" t="inlineStr">
        <is>
          <t>MENS</t>
        </is>
      </c>
      <c r="H1872" s="0" t="inlineStr">
        <is>
          <t>M</t>
        </is>
      </c>
      <c r="I1872" s="0">
        <v>54.99</v>
      </c>
      <c r="J1872" s="0">
        <v>89</v>
      </c>
    </row>
    <row r="1873" spans="1:10" customHeight="0">
      <c r="A1873" s="0">
        <f>HYPERLINK("https://dl.dropboxusercontent.com/scl/fi/6pyiohmzn7qtoza1du72u/99719af.jpg?rlkey=soggsl4bnvcfyff6yqk5xs8f3&amp;dl=0","Click to download Image")</f>
      </c>
      <c r="B1873" s="0">
        <f>HYPERLINK("https://dl.dropboxusercontent.com/scl/fi/wdetz8pbrkcvl1b83xzf6/graphic-update22022-youth.jpg?rlkey=b5t79nzm7uz55x3ttcg03esqw&amp;dl=0","Click to download SizeChart")</f>
      </c>
      <c r="C1873" s="0" t="inlineStr">
        <is>
          <t>Rowan Youth Fleece Jacket</t>
        </is>
      </c>
      <c r="D1873" s="1">
        <v>99719</v>
      </c>
      <c r="E1873" s="0" t="inlineStr">
        <is>
          <t>ROWAN:99719C-L</t>
        </is>
      </c>
      <c r="G1873" s="0" t="inlineStr">
        <is>
          <t>MENS</t>
        </is>
      </c>
      <c r="H1873" s="0" t="inlineStr">
        <is>
          <t>L</t>
        </is>
      </c>
      <c r="I1873" s="0">
        <v>54.99</v>
      </c>
      <c r="J1873" s="0">
        <v>96</v>
      </c>
    </row>
    <row r="1874" spans="1:10" customHeight="0">
      <c r="A1874" s="0">
        <f>HYPERLINK("https://dl.dropboxusercontent.com/scl/fi/6pyiohmzn7qtoza1du72u/99719af.jpg?rlkey=soggsl4bnvcfyff6yqk5xs8f3&amp;dl=0","Click to download Image")</f>
      </c>
      <c r="B1874" s="0">
        <f>HYPERLINK("https://dl.dropboxusercontent.com/scl/fi/wdetz8pbrkcvl1b83xzf6/graphic-update22022-youth.jpg?rlkey=b5t79nzm7uz55x3ttcg03esqw&amp;dl=0","Click to download SizeChart")</f>
      </c>
      <c r="C1874" s="0" t="inlineStr">
        <is>
          <t>Rowan Youth Fleece Jacket</t>
        </is>
      </c>
      <c r="D1874" s="1">
        <v>99719</v>
      </c>
      <c r="E1874" s="0" t="inlineStr">
        <is>
          <t>ROWAN:99719D-XL</t>
        </is>
      </c>
      <c r="G1874" s="0" t="inlineStr">
        <is>
          <t>MENS</t>
        </is>
      </c>
      <c r="H1874" s="0" t="inlineStr">
        <is>
          <t>XL</t>
        </is>
      </c>
      <c r="I1874" s="0">
        <v>54.99</v>
      </c>
      <c r="J1874" s="0">
        <v>98</v>
      </c>
    </row>
    <row r="1875" spans="1:10" customHeight="0">
      <c r="A1875" s="0">
        <f>HYPERLINK("https://dl.dropboxusercontent.com/scl/fi/0q7jnaz6k86ioo37bbk9f/99089f.jpg?rlkey=youg8csmoem80ztcmyocdqv7i&amp;dl=0","Click to download Image")</f>
      </c>
      <c r="B1875" s="0">
        <f>HYPERLINK("https://dl.dropboxusercontent.com/scl/fi/ultt8t7sln8vhd4pr89t1/graphic-update22022-infant.jpg?rlkey=osj54awjk0rp7etfiu1yql769&amp;dl=0","Click to download SizeChart")</f>
      </c>
      <c r="C1875" s="0" t="inlineStr">
        <is>
          <t>Palmer Infant Football Romper</t>
        </is>
      </c>
      <c r="D1875" s="1">
        <v>99089</v>
      </c>
      <c r="E1875" s="0" t="inlineStr">
        <is>
          <t>PALMER:99089A-0-3M</t>
        </is>
      </c>
      <c r="G1875" s="0" t="inlineStr">
        <is>
          <t>INFANT</t>
        </is>
      </c>
      <c r="H1875" s="0" t="inlineStr">
        <is>
          <t>0-3M</t>
        </is>
      </c>
      <c r="I1875" s="0">
        <v>24.99</v>
      </c>
      <c r="J1875" s="0">
        <v>23</v>
      </c>
    </row>
    <row r="1876" spans="1:10" customHeight="0">
      <c r="A1876" s="0">
        <f>HYPERLINK("https://dl.dropboxusercontent.com/scl/fi/0q7jnaz6k86ioo37bbk9f/99089f.jpg?rlkey=youg8csmoem80ztcmyocdqv7i&amp;dl=0","Click to download Image")</f>
      </c>
      <c r="B1876" s="0">
        <f>HYPERLINK("https://dl.dropboxusercontent.com/scl/fi/ultt8t7sln8vhd4pr89t1/graphic-update22022-infant.jpg?rlkey=osj54awjk0rp7etfiu1yql769&amp;dl=0","Click to download SizeChart")</f>
      </c>
      <c r="C1876" s="0" t="inlineStr">
        <is>
          <t>Palmer Infant Football Romper</t>
        </is>
      </c>
      <c r="D1876" s="1">
        <v>99089</v>
      </c>
      <c r="E1876" s="0" t="inlineStr">
        <is>
          <t>PALMER:99089B-3-6M</t>
        </is>
      </c>
      <c r="G1876" s="0" t="inlineStr">
        <is>
          <t>INFANT</t>
        </is>
      </c>
      <c r="H1876" s="0" t="inlineStr">
        <is>
          <t>3-6M</t>
        </is>
      </c>
      <c r="I1876" s="0">
        <v>24.99</v>
      </c>
      <c r="J1876" s="0">
        <v>13</v>
      </c>
    </row>
    <row r="1877" spans="1:10" customHeight="0">
      <c r="A1877" s="0">
        <f>HYPERLINK("https://dl.dropboxusercontent.com/scl/fi/0q7jnaz6k86ioo37bbk9f/99089f.jpg?rlkey=youg8csmoem80ztcmyocdqv7i&amp;dl=0","Click to download Image")</f>
      </c>
      <c r="B1877" s="0">
        <f>HYPERLINK("https://dl.dropboxusercontent.com/scl/fi/ultt8t7sln8vhd4pr89t1/graphic-update22022-infant.jpg?rlkey=osj54awjk0rp7etfiu1yql769&amp;dl=0","Click to download SizeChart")</f>
      </c>
      <c r="C1877" s="0" t="inlineStr">
        <is>
          <t>Palmer Infant Football Romper</t>
        </is>
      </c>
      <c r="D1877" s="1">
        <v>99089</v>
      </c>
      <c r="E1877" s="0" t="inlineStr">
        <is>
          <t>PALMER:99089C-6-9M</t>
        </is>
      </c>
      <c r="G1877" s="0" t="inlineStr">
        <is>
          <t>INFANT</t>
        </is>
      </c>
      <c r="H1877" s="0" t="inlineStr">
        <is>
          <t>6-9M</t>
        </is>
      </c>
      <c r="I1877" s="0">
        <v>24.99</v>
      </c>
      <c r="J1877" s="0">
        <v>10</v>
      </c>
    </row>
    <row r="1878" spans="1:10" customHeight="0">
      <c r="A1878" s="0">
        <f>HYPERLINK("https://dl.dropboxusercontent.com/scl/fi/0q7jnaz6k86ioo37bbk9f/99089f.jpg?rlkey=youg8csmoem80ztcmyocdqv7i&amp;dl=0","Click to download Image")</f>
      </c>
      <c r="B1878" s="0">
        <f>HYPERLINK("https://dl.dropboxusercontent.com/scl/fi/ultt8t7sln8vhd4pr89t1/graphic-update22022-infant.jpg?rlkey=osj54awjk0rp7etfiu1yql769&amp;dl=0","Click to download SizeChart")</f>
      </c>
      <c r="C1878" s="0" t="inlineStr">
        <is>
          <t>Palmer Infant Football Romper</t>
        </is>
      </c>
      <c r="D1878" s="1">
        <v>99089</v>
      </c>
      <c r="E1878" s="0" t="inlineStr">
        <is>
          <t>PALMER:99089D- 12M</t>
        </is>
      </c>
      <c r="G1878" s="0" t="inlineStr">
        <is>
          <t>INFANT</t>
        </is>
      </c>
      <c r="H1878" s="0" t="inlineStr">
        <is>
          <t>12M</t>
        </is>
      </c>
      <c r="I1878" s="0">
        <v>24.99</v>
      </c>
      <c r="J1878" s="0">
        <v>39</v>
      </c>
    </row>
    <row r="1879" spans="1:10" customHeight="0">
      <c r="A1879" s="0">
        <f>HYPERLINK("https://dl.dropboxusercontent.com/scl/fi/3a3pgx31ltpx71p4vspsw/5x3a8506-copy.jpg?rlkey=fjvjim20rfmkq66ri3e2v7hma&amp;dl=0","Click to download Image")</f>
      </c>
      <c r="C1879" s="0" t="inlineStr">
        <is>
          <t>Rachelle Clear Stadium Approved Tote</t>
        </is>
      </c>
      <c r="D1879" s="1">
        <v>135237</v>
      </c>
      <c r="E1879" s="0" t="inlineStr">
        <is>
          <t>IOWA RACHEL BK:135237</t>
        </is>
      </c>
      <c r="F1879" s="2">
        <v>900135237015</v>
      </c>
      <c r="I1879" s="0">
        <v>24.99</v>
      </c>
      <c r="J1879" s="0">
        <v>45</v>
      </c>
    </row>
    <row r="1880" spans="1:10" customHeight="0">
      <c r="A1880" s="0">
        <f>HYPERLINK("https://dl.dropboxusercontent.com/scl/fi/pzm2z3b5mrgj3kfg8r7h4/golfia210434.jpg?rlkey=inunnkxdzgyeoie2i6ug4vvgl&amp;dl=0","Click to download Image")</f>
      </c>
      <c r="B1880" s="0">
        <f>HYPERLINK("https://dl.dropboxusercontent.com/scl/fi/rnrg4w2my1zdfv3hpcjgu/mens-button-down-size-chartsdelta-golf.jpg?rlkey=xzt7201du2eylr9e18jtttr5n&amp;dl=0","Click to download SizeChart")</f>
      </c>
      <c r="C1880" s="0" t="inlineStr">
        <is>
          <t>Plaid Button Down Shirt Men's 2.0</t>
        </is>
      </c>
      <c r="D1880" s="1">
        <v>126035</v>
      </c>
      <c r="E1880" s="0" t="inlineStr">
        <is>
          <t>IOWA GOLF2.0 M BK:126035A-S</t>
        </is>
      </c>
      <c r="F1880" s="2">
        <v>800126035043</v>
      </c>
      <c r="G1880" s="0" t="inlineStr">
        <is>
          <t>MENS</t>
        </is>
      </c>
      <c r="H1880" s="0" t="inlineStr">
        <is>
          <t>S</t>
        </is>
      </c>
      <c r="I1880" s="0">
        <v>89.99</v>
      </c>
      <c r="J1880" s="0">
        <v>13</v>
      </c>
    </row>
    <row r="1881" spans="1:10" customHeight="0">
      <c r="A1881" s="0">
        <f>HYPERLINK("https://dl.dropboxusercontent.com/scl/fi/pzm2z3b5mrgj3kfg8r7h4/golfia210434.jpg?rlkey=inunnkxdzgyeoie2i6ug4vvgl&amp;dl=0","Click to download Image")</f>
      </c>
      <c r="B1881" s="0">
        <f>HYPERLINK("https://dl.dropboxusercontent.com/scl/fi/rnrg4w2my1zdfv3hpcjgu/mens-button-down-size-chartsdelta-golf.jpg?rlkey=xzt7201du2eylr9e18jtttr5n&amp;dl=0","Click to download SizeChart")</f>
      </c>
      <c r="C1881" s="0" t="inlineStr">
        <is>
          <t>Plaid Button Down Shirt Men's 2.0</t>
        </is>
      </c>
      <c r="D1881" s="1">
        <v>126035</v>
      </c>
      <c r="E1881" s="0" t="inlineStr">
        <is>
          <t>IOWA GOLF2.0 M BK:126035B-M</t>
        </is>
      </c>
      <c r="F1881" s="2">
        <v>800126035050</v>
      </c>
      <c r="G1881" s="0" t="inlineStr">
        <is>
          <t>MENS</t>
        </is>
      </c>
      <c r="H1881" s="0" t="inlineStr">
        <is>
          <t>M</t>
        </is>
      </c>
      <c r="I1881" s="0">
        <v>89.99</v>
      </c>
      <c r="J1881" s="0">
        <v>27</v>
      </c>
    </row>
    <row r="1882" spans="1:10" customHeight="0">
      <c r="A1882" s="0">
        <f>HYPERLINK("https://dl.dropboxusercontent.com/scl/fi/pzm2z3b5mrgj3kfg8r7h4/golfia210434.jpg?rlkey=inunnkxdzgyeoie2i6ug4vvgl&amp;dl=0","Click to download Image")</f>
      </c>
      <c r="B1882" s="0">
        <f>HYPERLINK("https://dl.dropboxusercontent.com/scl/fi/rnrg4w2my1zdfv3hpcjgu/mens-button-down-size-chartsdelta-golf.jpg?rlkey=xzt7201du2eylr9e18jtttr5n&amp;dl=0","Click to download SizeChart")</f>
      </c>
      <c r="C1882" s="0" t="inlineStr">
        <is>
          <t>Plaid Button Down Shirt Men's 2.0</t>
        </is>
      </c>
      <c r="D1882" s="1">
        <v>126035</v>
      </c>
      <c r="E1882" s="0" t="inlineStr">
        <is>
          <t>IOWA GOLF2.0 M BK:126035C-L</t>
        </is>
      </c>
      <c r="F1882" s="2">
        <v>800126035067</v>
      </c>
      <c r="G1882" s="0" t="inlineStr">
        <is>
          <t>MENS</t>
        </is>
      </c>
      <c r="H1882" s="0" t="inlineStr">
        <is>
          <t>L</t>
        </is>
      </c>
      <c r="I1882" s="0">
        <v>89.99</v>
      </c>
      <c r="J1882" s="0">
        <v>38</v>
      </c>
    </row>
    <row r="1883" spans="1:10" customHeight="0">
      <c r="A1883" s="0">
        <f>HYPERLINK("https://dl.dropboxusercontent.com/scl/fi/pzm2z3b5mrgj3kfg8r7h4/golfia210434.jpg?rlkey=inunnkxdzgyeoie2i6ug4vvgl&amp;dl=0","Click to download Image")</f>
      </c>
      <c r="B1883" s="0">
        <f>HYPERLINK("https://dl.dropboxusercontent.com/scl/fi/rnrg4w2my1zdfv3hpcjgu/mens-button-down-size-chartsdelta-golf.jpg?rlkey=xzt7201du2eylr9e18jtttr5n&amp;dl=0","Click to download SizeChart")</f>
      </c>
      <c r="C1883" s="0" t="inlineStr">
        <is>
          <t>Plaid Button Down Shirt Men's 2.0</t>
        </is>
      </c>
      <c r="D1883" s="1">
        <v>126035</v>
      </c>
      <c r="E1883" s="0" t="inlineStr">
        <is>
          <t>IOWA GOLF2.0 M BK:126035D-XL</t>
        </is>
      </c>
      <c r="F1883" s="2">
        <v>800126035074</v>
      </c>
      <c r="G1883" s="0" t="inlineStr">
        <is>
          <t>MENS</t>
        </is>
      </c>
      <c r="H1883" s="0" t="inlineStr">
        <is>
          <t>XL</t>
        </is>
      </c>
      <c r="I1883" s="0">
        <v>89.99</v>
      </c>
      <c r="J1883" s="0">
        <v>37</v>
      </c>
    </row>
    <row r="1884" spans="1:10" customHeight="0">
      <c r="A1884" s="0">
        <f>HYPERLINK("https://dl.dropboxusercontent.com/scl/fi/pzm2z3b5mrgj3kfg8r7h4/golfia210434.jpg?rlkey=inunnkxdzgyeoie2i6ug4vvgl&amp;dl=0","Click to download Image")</f>
      </c>
      <c r="B1884" s="0">
        <f>HYPERLINK("https://dl.dropboxusercontent.com/scl/fi/rnrg4w2my1zdfv3hpcjgu/mens-button-down-size-chartsdelta-golf.jpg?rlkey=xzt7201du2eylr9e18jtttr5n&amp;dl=0","Click to download SizeChart")</f>
      </c>
      <c r="C1884" s="0" t="inlineStr">
        <is>
          <t>Plaid Button Down Shirt Men's 2.0</t>
        </is>
      </c>
      <c r="D1884" s="1">
        <v>126035</v>
      </c>
      <c r="E1884" s="0" t="inlineStr">
        <is>
          <t>IOWA GOLF2.0 M BK:126035E-2XL</t>
        </is>
      </c>
      <c r="F1884" s="2">
        <v>800126035081</v>
      </c>
      <c r="G1884" s="0" t="inlineStr">
        <is>
          <t>MENS</t>
        </is>
      </c>
      <c r="H1884" s="0" t="inlineStr">
        <is>
          <t>2XL</t>
        </is>
      </c>
      <c r="I1884" s="0">
        <v>91.99</v>
      </c>
      <c r="J1884" s="0">
        <v>26</v>
      </c>
    </row>
    <row r="1885" spans="1:10" customHeight="0">
      <c r="A1885" s="0">
        <f>HYPERLINK("https://dl.dropboxusercontent.com/scl/fi/pzm2z3b5mrgj3kfg8r7h4/golfia210434.jpg?rlkey=inunnkxdzgyeoie2i6ug4vvgl&amp;dl=0","Click to download Image")</f>
      </c>
      <c r="B1885" s="0">
        <f>HYPERLINK("https://dl.dropboxusercontent.com/scl/fi/rnrg4w2my1zdfv3hpcjgu/mens-button-down-size-chartsdelta-golf.jpg?rlkey=xzt7201du2eylr9e18jtttr5n&amp;dl=0","Click to download SizeChart")</f>
      </c>
      <c r="C1885" s="0" t="inlineStr">
        <is>
          <t>Plaid Button Down Shirt Men's 2.0</t>
        </is>
      </c>
      <c r="D1885" s="1">
        <v>126035</v>
      </c>
      <c r="E1885" s="0" t="inlineStr">
        <is>
          <t>IOWA GOLF2.0 M BK:126035F-3XL</t>
        </is>
      </c>
      <c r="F1885" s="2">
        <v>800126035098</v>
      </c>
      <c r="G1885" s="0" t="inlineStr">
        <is>
          <t>MENS</t>
        </is>
      </c>
      <c r="H1885" s="0" t="inlineStr">
        <is>
          <t>3XL</t>
        </is>
      </c>
      <c r="I1885" s="0">
        <v>91.99</v>
      </c>
      <c r="J1885" s="0">
        <v>13</v>
      </c>
    </row>
    <row r="1886" spans="1:10" customHeight="0">
      <c r="A1886" s="0">
        <f>HYPERLINK("https://dl.dropboxusercontent.com/scl/fi/bbtqdyatuusftgghw7j7b/112585-af.jpg?rlkey=2spoopvbp0b38x5wihyv0t8z7&amp;dl=0","Click to download Image")</f>
      </c>
      <c r="B1886" s="0">
        <f>HYPERLINK("https://dl.dropboxusercontent.com/scl/fi/81my1mw0ytoe6n9g9ac0t/jersey-size-chartskendrick.jpg?rlkey=7i6vc909mfkvcasgjg4zt9hqw&amp;dl=0","Click to download SizeChart")</f>
      </c>
      <c r="C1886" s="0" t="inlineStr">
        <is>
          <t>Hugh Men's Relaxed Bike Jersey</t>
        </is>
      </c>
      <c r="D1886" s="1">
        <v>112585</v>
      </c>
      <c r="E1886" s="0" t="inlineStr">
        <is>
          <t>IOWA HUGH MENS BLACK:112585A - S</t>
        </is>
      </c>
      <c r="F1886" s="2">
        <v>800112585040</v>
      </c>
      <c r="G1886" s="0" t="inlineStr">
        <is>
          <t>MENS</t>
        </is>
      </c>
      <c r="H1886" s="0" t="inlineStr">
        <is>
          <t>S</t>
        </is>
      </c>
      <c r="I1886" s="0">
        <v>64.99</v>
      </c>
      <c r="J1886" s="0">
        <v>15</v>
      </c>
    </row>
    <row r="1887" spans="1:10" customHeight="0">
      <c r="A1887" s="0">
        <f>HYPERLINK("https://dl.dropboxusercontent.com/scl/fi/bbtqdyatuusftgghw7j7b/112585-af.jpg?rlkey=2spoopvbp0b38x5wihyv0t8z7&amp;dl=0","Click to download Image")</f>
      </c>
      <c r="B1887" s="0">
        <f>HYPERLINK("https://dl.dropboxusercontent.com/scl/fi/81my1mw0ytoe6n9g9ac0t/jersey-size-chartskendrick.jpg?rlkey=7i6vc909mfkvcasgjg4zt9hqw&amp;dl=0","Click to download SizeChart")</f>
      </c>
      <c r="C1887" s="0" t="inlineStr">
        <is>
          <t>Hugh Men's Relaxed Bike Jersey</t>
        </is>
      </c>
      <c r="D1887" s="1">
        <v>112585</v>
      </c>
      <c r="E1887" s="0" t="inlineStr">
        <is>
          <t>IOWA HUGH MENS BLACK:112585B - M</t>
        </is>
      </c>
      <c r="F1887" s="2">
        <v>800112585057</v>
      </c>
      <c r="G1887" s="0" t="inlineStr">
        <is>
          <t>MENS</t>
        </is>
      </c>
      <c r="H1887" s="0" t="inlineStr">
        <is>
          <t>M</t>
        </is>
      </c>
      <c r="I1887" s="0">
        <v>64.99</v>
      </c>
      <c r="J1887" s="0">
        <v>13</v>
      </c>
    </row>
    <row r="1888" spans="1:10" customHeight="0">
      <c r="A1888" s="0">
        <f>HYPERLINK("https://dl.dropboxusercontent.com/scl/fi/bbtqdyatuusftgghw7j7b/112585-af.jpg?rlkey=2spoopvbp0b38x5wihyv0t8z7&amp;dl=0","Click to download Image")</f>
      </c>
      <c r="B1888" s="0">
        <f>HYPERLINK("https://dl.dropboxusercontent.com/scl/fi/81my1mw0ytoe6n9g9ac0t/jersey-size-chartskendrick.jpg?rlkey=7i6vc909mfkvcasgjg4zt9hqw&amp;dl=0","Click to download SizeChart")</f>
      </c>
      <c r="C1888" s="0" t="inlineStr">
        <is>
          <t>Hugh Men's Relaxed Bike Jersey</t>
        </is>
      </c>
      <c r="D1888" s="1">
        <v>112585</v>
      </c>
      <c r="E1888" s="0" t="inlineStr">
        <is>
          <t>IOWA HUGH MENS BLACK:112585C - L</t>
        </is>
      </c>
      <c r="F1888" s="2">
        <v>800112585064</v>
      </c>
      <c r="G1888" s="0" t="inlineStr">
        <is>
          <t>MENS</t>
        </is>
      </c>
      <c r="H1888" s="0" t="inlineStr">
        <is>
          <t>L</t>
        </is>
      </c>
      <c r="I1888" s="0">
        <v>64.99</v>
      </c>
      <c r="J1888" s="0">
        <v>0</v>
      </c>
    </row>
    <row r="1889" spans="1:10" customHeight="0">
      <c r="A1889" s="0">
        <f>HYPERLINK("https://dl.dropboxusercontent.com/scl/fi/bbtqdyatuusftgghw7j7b/112585-af.jpg?rlkey=2spoopvbp0b38x5wihyv0t8z7&amp;dl=0","Click to download Image")</f>
      </c>
      <c r="B1889" s="0">
        <f>HYPERLINK("https://dl.dropboxusercontent.com/scl/fi/81my1mw0ytoe6n9g9ac0t/jersey-size-chartskendrick.jpg?rlkey=7i6vc909mfkvcasgjg4zt9hqw&amp;dl=0","Click to download SizeChart")</f>
      </c>
      <c r="C1889" s="0" t="inlineStr">
        <is>
          <t>Hugh Men's Relaxed Bike Jersey</t>
        </is>
      </c>
      <c r="D1889" s="1">
        <v>112585</v>
      </c>
      <c r="E1889" s="0" t="inlineStr">
        <is>
          <t>IOWA HUGH MENS BLACK:112585D - XL</t>
        </is>
      </c>
      <c r="F1889" s="2">
        <v>800112585071</v>
      </c>
      <c r="G1889" s="0" t="inlineStr">
        <is>
          <t>MENS</t>
        </is>
      </c>
      <c r="H1889" s="0" t="inlineStr">
        <is>
          <t>XL</t>
        </is>
      </c>
      <c r="I1889" s="0">
        <v>64.99</v>
      </c>
      <c r="J1889" s="0">
        <v>12</v>
      </c>
    </row>
    <row r="1890" spans="1:10" customHeight="0">
      <c r="A1890" s="0">
        <f>HYPERLINK("https://dl.dropboxusercontent.com/scl/fi/bbtqdyatuusftgghw7j7b/112585-af.jpg?rlkey=2spoopvbp0b38x5wihyv0t8z7&amp;dl=0","Click to download Image")</f>
      </c>
      <c r="B1890" s="0">
        <f>HYPERLINK("https://dl.dropboxusercontent.com/scl/fi/81my1mw0ytoe6n9g9ac0t/jersey-size-chartskendrick.jpg?rlkey=7i6vc909mfkvcasgjg4zt9hqw&amp;dl=0","Click to download SizeChart")</f>
      </c>
      <c r="C1890" s="0" t="inlineStr">
        <is>
          <t>Hugh Men's Relaxed Bike Jersey</t>
        </is>
      </c>
      <c r="D1890" s="1">
        <v>112585</v>
      </c>
      <c r="E1890" s="0" t="inlineStr">
        <is>
          <t>IOWA HUGH MENS BLACK:112585E - 2XL</t>
        </is>
      </c>
      <c r="F1890" s="2">
        <v>800112585088</v>
      </c>
      <c r="G1890" s="0" t="inlineStr">
        <is>
          <t>MENS</t>
        </is>
      </c>
      <c r="H1890" s="0" t="inlineStr">
        <is>
          <t>2XL</t>
        </is>
      </c>
      <c r="I1890" s="0">
        <v>64.99</v>
      </c>
      <c r="J1890" s="0">
        <v>8</v>
      </c>
    </row>
    <row r="1891" spans="1:10" customHeight="0">
      <c r="A1891" s="0">
        <f>HYPERLINK("https://dl.dropboxusercontent.com/scl/fi/bbtqdyatuusftgghw7j7b/112585-af.jpg?rlkey=2spoopvbp0b38x5wihyv0t8z7&amp;dl=0","Click to download Image")</f>
      </c>
      <c r="B1891" s="0">
        <f>HYPERLINK("https://dl.dropboxusercontent.com/scl/fi/81my1mw0ytoe6n9g9ac0t/jersey-size-chartskendrick.jpg?rlkey=7i6vc909mfkvcasgjg4zt9hqw&amp;dl=0","Click to download SizeChart")</f>
      </c>
      <c r="C1891" s="0" t="inlineStr">
        <is>
          <t>Hugh Men's Relaxed Bike Jersey</t>
        </is>
      </c>
      <c r="D1891" s="1">
        <v>112585</v>
      </c>
      <c r="E1891" s="0" t="inlineStr">
        <is>
          <t>IOWA HUGH MENS BLACK:112585F - 3XL</t>
        </is>
      </c>
      <c r="F1891" s="2">
        <v>800112585095</v>
      </c>
      <c r="G1891" s="0" t="inlineStr">
        <is>
          <t>MENS</t>
        </is>
      </c>
      <c r="H1891" s="0" t="inlineStr">
        <is>
          <t>3XL</t>
        </is>
      </c>
      <c r="I1891" s="0">
        <v>64.99</v>
      </c>
      <c r="J1891" s="0">
        <v>4</v>
      </c>
    </row>
    <row r="1892" spans="1:10" customHeight="0">
      <c r="A1892" s="0">
        <f>HYPERLINK("https://dl.dropboxusercontent.com/scl/fi/x1p5v66kcor01whuqlqqc/iowabutton31226.jpg?rlkey=p5wry0y811kh6gz5b63gkx82l&amp;dl=0","Click to download Image")</f>
      </c>
      <c r="B1892" s="0">
        <f>HYPERLINK("https://dl.dropboxusercontent.com/scl/fi/ha0lknco06ajnchhtgp19/2january-20201mens.jpg?rlkey=9txcvgc1yqjwfw140kbthngti&amp;dl=0","Click to download SizeChart")</f>
      </c>
      <c r="C1892" s="0" t="inlineStr">
        <is>
          <t>Plaid Button Down Shirt Men's</t>
        </is>
      </c>
      <c r="D1892" s="1">
        <v>126035</v>
      </c>
      <c r="E1892" s="0" t="inlineStr">
        <is>
          <t>IOWA GOLF M BK:126035A-S</t>
        </is>
      </c>
      <c r="F1892" s="2">
        <v>800126035043</v>
      </c>
      <c r="G1892" s="0" t="inlineStr">
        <is>
          <t>MENS</t>
        </is>
      </c>
      <c r="H1892" s="0" t="inlineStr">
        <is>
          <t>S</t>
        </is>
      </c>
      <c r="I1892" s="0">
        <v>89.99</v>
      </c>
      <c r="J1892" s="0">
        <v>9</v>
      </c>
    </row>
    <row r="1893" spans="1:10" customHeight="0">
      <c r="A1893" s="0">
        <f>HYPERLINK("https://dl.dropboxusercontent.com/scl/fi/x1p5v66kcor01whuqlqqc/iowabutton31226.jpg?rlkey=p5wry0y811kh6gz5b63gkx82l&amp;dl=0","Click to download Image")</f>
      </c>
      <c r="B1893" s="0">
        <f>HYPERLINK("https://dl.dropboxusercontent.com/scl/fi/ha0lknco06ajnchhtgp19/2january-20201mens.jpg?rlkey=9txcvgc1yqjwfw140kbthngti&amp;dl=0","Click to download SizeChart")</f>
      </c>
      <c r="C1893" s="0" t="inlineStr">
        <is>
          <t>Plaid Button Down Shirt Men's</t>
        </is>
      </c>
      <c r="D1893" s="1">
        <v>126035</v>
      </c>
      <c r="E1893" s="0" t="inlineStr">
        <is>
          <t>IOWA GOLF M BK:126035B-M</t>
        </is>
      </c>
      <c r="F1893" s="2">
        <v>800126035050</v>
      </c>
      <c r="G1893" s="0" t="inlineStr">
        <is>
          <t>MENS</t>
        </is>
      </c>
      <c r="H1893" s="0" t="inlineStr">
        <is>
          <t>M</t>
        </is>
      </c>
      <c r="I1893" s="0">
        <v>89.99</v>
      </c>
      <c r="J1893" s="0">
        <v>16</v>
      </c>
    </row>
    <row r="1894" spans="1:10" customHeight="0">
      <c r="A1894" s="0">
        <f>HYPERLINK("https://dl.dropboxusercontent.com/scl/fi/x1p5v66kcor01whuqlqqc/iowabutton31226.jpg?rlkey=p5wry0y811kh6gz5b63gkx82l&amp;dl=0","Click to download Image")</f>
      </c>
      <c r="B1894" s="0">
        <f>HYPERLINK("https://dl.dropboxusercontent.com/scl/fi/ha0lknco06ajnchhtgp19/2january-20201mens.jpg?rlkey=9txcvgc1yqjwfw140kbthngti&amp;dl=0","Click to download SizeChart")</f>
      </c>
      <c r="C1894" s="0" t="inlineStr">
        <is>
          <t>Plaid Button Down Shirt Men's</t>
        </is>
      </c>
      <c r="D1894" s="1">
        <v>126035</v>
      </c>
      <c r="E1894" s="0" t="inlineStr">
        <is>
          <t>IOWA GOLF M BK:126035C-L</t>
        </is>
      </c>
      <c r="F1894" s="2">
        <v>800126035067</v>
      </c>
      <c r="G1894" s="0" t="inlineStr">
        <is>
          <t>MENS</t>
        </is>
      </c>
      <c r="H1894" s="0" t="inlineStr">
        <is>
          <t>L</t>
        </is>
      </c>
      <c r="I1894" s="0">
        <v>89.99</v>
      </c>
      <c r="J1894" s="0">
        <v>22</v>
      </c>
    </row>
    <row r="1895" spans="1:10" customHeight="0">
      <c r="A1895" s="0">
        <f>HYPERLINK("https://dl.dropboxusercontent.com/scl/fi/x1p5v66kcor01whuqlqqc/iowabutton31226.jpg?rlkey=p5wry0y811kh6gz5b63gkx82l&amp;dl=0","Click to download Image")</f>
      </c>
      <c r="B1895" s="0">
        <f>HYPERLINK("https://dl.dropboxusercontent.com/scl/fi/ha0lknco06ajnchhtgp19/2january-20201mens.jpg?rlkey=9txcvgc1yqjwfw140kbthngti&amp;dl=0","Click to download SizeChart")</f>
      </c>
      <c r="C1895" s="0" t="inlineStr">
        <is>
          <t>Plaid Button Down Shirt Men's</t>
        </is>
      </c>
      <c r="D1895" s="1">
        <v>126035</v>
      </c>
      <c r="E1895" s="0" t="inlineStr">
        <is>
          <t>IOWA GOLF M BK:126035D-XL</t>
        </is>
      </c>
      <c r="F1895" s="2">
        <v>800126035074</v>
      </c>
      <c r="G1895" s="0" t="inlineStr">
        <is>
          <t>MENS</t>
        </is>
      </c>
      <c r="H1895" s="0" t="inlineStr">
        <is>
          <t>XL</t>
        </is>
      </c>
      <c r="I1895" s="0">
        <v>89.99</v>
      </c>
      <c r="J1895" s="0">
        <v>23</v>
      </c>
    </row>
    <row r="1896" spans="1:10" customHeight="0">
      <c r="A1896" s="0">
        <f>HYPERLINK("https://dl.dropboxusercontent.com/scl/fi/x1p5v66kcor01whuqlqqc/iowabutton31226.jpg?rlkey=p5wry0y811kh6gz5b63gkx82l&amp;dl=0","Click to download Image")</f>
      </c>
      <c r="B1896" s="0">
        <f>HYPERLINK("https://dl.dropboxusercontent.com/scl/fi/ha0lknco06ajnchhtgp19/2january-20201mens.jpg?rlkey=9txcvgc1yqjwfw140kbthngti&amp;dl=0","Click to download SizeChart")</f>
      </c>
      <c r="C1896" s="0" t="inlineStr">
        <is>
          <t>Plaid Button Down Shirt Men's</t>
        </is>
      </c>
      <c r="D1896" s="1">
        <v>126035</v>
      </c>
      <c r="E1896" s="0" t="inlineStr">
        <is>
          <t>IOWA GOLF M BK:126035E-2XL</t>
        </is>
      </c>
      <c r="F1896" s="2">
        <v>800126035081</v>
      </c>
      <c r="G1896" s="0" t="inlineStr">
        <is>
          <t>MENS</t>
        </is>
      </c>
      <c r="H1896" s="0" t="inlineStr">
        <is>
          <t>2XL</t>
        </is>
      </c>
      <c r="I1896" s="0">
        <v>91.99</v>
      </c>
      <c r="J1896" s="0">
        <v>14</v>
      </c>
    </row>
    <row r="1897" spans="1:10" customHeight="0">
      <c r="A1897" s="0">
        <f>HYPERLINK("https://dl.dropboxusercontent.com/scl/fi/x1p5v66kcor01whuqlqqc/iowabutton31226.jpg?rlkey=p5wry0y811kh6gz5b63gkx82l&amp;dl=0","Click to download Image")</f>
      </c>
      <c r="B1897" s="0">
        <f>HYPERLINK("https://dl.dropboxusercontent.com/scl/fi/ha0lknco06ajnchhtgp19/2january-20201mens.jpg?rlkey=9txcvgc1yqjwfw140kbthngti&amp;dl=0","Click to download SizeChart")</f>
      </c>
      <c r="C1897" s="0" t="inlineStr">
        <is>
          <t>Plaid Button Down Shirt Men's</t>
        </is>
      </c>
      <c r="D1897" s="1">
        <v>126035</v>
      </c>
      <c r="E1897" s="0" t="inlineStr">
        <is>
          <t>IOWA GOLF M BK:126035F-3XL</t>
        </is>
      </c>
      <c r="F1897" s="2">
        <v>800126035098</v>
      </c>
      <c r="G1897" s="0" t="inlineStr">
        <is>
          <t>MENS</t>
        </is>
      </c>
      <c r="H1897" s="0" t="inlineStr">
        <is>
          <t>3XL</t>
        </is>
      </c>
      <c r="I1897" s="0">
        <v>91.99</v>
      </c>
      <c r="J1897" s="0">
        <v>5</v>
      </c>
    </row>
    <row r="1898" spans="1:10" customHeight="0">
      <c r="A1898" s="0">
        <f>HYPERLINK("https://dl.dropboxusercontent.com/scl/fi/x1p5v66kcor01whuqlqqc/iowabutton31226.jpg?rlkey=p5wry0y811kh6gz5b63gkx82l&amp;dl=0","Click to download Image")</f>
      </c>
      <c r="B1898" s="0">
        <f>HYPERLINK("https://dl.dropboxusercontent.com/scl/fi/ha0lknco06ajnchhtgp19/2january-20201mens.jpg?rlkey=9txcvgc1yqjwfw140kbthngti&amp;dl=0","Click to download SizeChart")</f>
      </c>
      <c r="C1898" s="0" t="inlineStr">
        <is>
          <t>Plaid Button Down Shirt Men's</t>
        </is>
      </c>
      <c r="D1898" s="1">
        <v>126035</v>
      </c>
      <c r="E1898" s="0" t="inlineStr">
        <is>
          <t>IOWA GOLF M BK:126035CT-L TALL</t>
        </is>
      </c>
      <c r="F1898" s="2">
        <v>800126035166</v>
      </c>
      <c r="G1898" s="0" t="inlineStr">
        <is>
          <t>MENS</t>
        </is>
      </c>
      <c r="H1898" s="0" t="inlineStr">
        <is>
          <t>L TALL</t>
        </is>
      </c>
      <c r="I1898" s="0">
        <v>89.99</v>
      </c>
      <c r="J1898" s="0">
        <v>2</v>
      </c>
    </row>
    <row r="1899" spans="1:10" customHeight="0">
      <c r="A1899" s="0">
        <f>HYPERLINK("https://dl.dropboxusercontent.com/scl/fi/x1p5v66kcor01whuqlqqc/iowabutton31226.jpg?rlkey=p5wry0y811kh6gz5b63gkx82l&amp;dl=0","Click to download Image")</f>
      </c>
      <c r="B1899" s="0">
        <f>HYPERLINK("https://dl.dropboxusercontent.com/scl/fi/ha0lknco06ajnchhtgp19/2january-20201mens.jpg?rlkey=9txcvgc1yqjwfw140kbthngti&amp;dl=0","Click to download SizeChart")</f>
      </c>
      <c r="C1899" s="0" t="inlineStr">
        <is>
          <t>Plaid Button Down Shirt Men's</t>
        </is>
      </c>
      <c r="D1899" s="1">
        <v>126035</v>
      </c>
      <c r="E1899" s="0" t="inlineStr">
        <is>
          <t>IOWA GOLF M BK:126035DT-XL TALL</t>
        </is>
      </c>
      <c r="F1899" s="2">
        <v>800126035173</v>
      </c>
      <c r="G1899" s="0" t="inlineStr">
        <is>
          <t>MENS</t>
        </is>
      </c>
      <c r="H1899" s="0" t="inlineStr">
        <is>
          <t>XL TALL</t>
        </is>
      </c>
      <c r="I1899" s="0">
        <v>89.99</v>
      </c>
      <c r="J1899" s="0">
        <v>0</v>
      </c>
    </row>
    <row r="1900" spans="1:10" customHeight="0">
      <c r="A1900" s="0">
        <f>HYPERLINK("https://dl.dropboxusercontent.com/scl/fi/x1p5v66kcor01whuqlqqc/iowabutton31226.jpg?rlkey=p5wry0y811kh6gz5b63gkx82l&amp;dl=0","Click to download Image")</f>
      </c>
      <c r="B1900" s="0">
        <f>HYPERLINK("https://dl.dropboxusercontent.com/scl/fi/ha0lknco06ajnchhtgp19/2january-20201mens.jpg?rlkey=9txcvgc1yqjwfw140kbthngti&amp;dl=0","Click to download SizeChart")</f>
      </c>
      <c r="C1900" s="0" t="inlineStr">
        <is>
          <t>Plaid Button Down Shirt Men's</t>
        </is>
      </c>
      <c r="D1900" s="1">
        <v>126035</v>
      </c>
      <c r="E1900" s="0" t="inlineStr">
        <is>
          <t>IOWA GOLF M BK:126035ET-2XL TALL</t>
        </is>
      </c>
      <c r="F1900" s="2">
        <v>800126035180</v>
      </c>
      <c r="G1900" s="0" t="inlineStr">
        <is>
          <t>MENS</t>
        </is>
      </c>
      <c r="H1900" s="0" t="inlineStr">
        <is>
          <t>2XL TALL</t>
        </is>
      </c>
      <c r="I1900" s="0">
        <v>91.99</v>
      </c>
      <c r="J1900" s="0">
        <v>4</v>
      </c>
    </row>
    <row r="1901" spans="1:10" customHeight="0">
      <c r="A1901" s="0">
        <f>HYPERLINK("https://dl.dropboxusercontent.com/scl/fi/x1p5v66kcor01whuqlqqc/iowabutton31226.jpg?rlkey=p5wry0y811kh6gz5b63gkx82l&amp;dl=0","Click to download Image")</f>
      </c>
      <c r="B1901" s="0">
        <f>HYPERLINK("https://dl.dropboxusercontent.com/scl/fi/ha0lknco06ajnchhtgp19/2january-20201mens.jpg?rlkey=9txcvgc1yqjwfw140kbthngti&amp;dl=0","Click to download SizeChart")</f>
      </c>
      <c r="C1901" s="0" t="inlineStr">
        <is>
          <t>Plaid Button Down Shirt Men's</t>
        </is>
      </c>
      <c r="D1901" s="1">
        <v>126035</v>
      </c>
      <c r="E1901" s="0" t="inlineStr">
        <is>
          <t>IOWA GOLF M BK:126035FT-3XL TALL</t>
        </is>
      </c>
      <c r="F1901" s="2">
        <v>800126035197</v>
      </c>
      <c r="G1901" s="0" t="inlineStr">
        <is>
          <t>MENS</t>
        </is>
      </c>
      <c r="H1901" s="0" t="inlineStr">
        <is>
          <t>3XL TALL</t>
        </is>
      </c>
      <c r="I1901" s="0">
        <v>91.99</v>
      </c>
      <c r="J1901" s="0">
        <v>3</v>
      </c>
    </row>
    <row r="1902" spans="1:10" customHeight="0">
      <c r="A1902" s="0">
        <f>HYPERLINK("https://dl.dropboxusercontent.com/scl/fi/x1p5v66kcor01whuqlqqc/iowabutton31226.jpg?rlkey=p5wry0y811kh6gz5b63gkx82l&amp;dl=0","Click to download Image")</f>
      </c>
      <c r="B1902" s="0">
        <f>HYPERLINK("https://dl.dropboxusercontent.com/scl/fi/ha0lknco06ajnchhtgp19/2january-20201mens.jpg?rlkey=9txcvgc1yqjwfw140kbthngti&amp;dl=0","Click to download SizeChart")</f>
      </c>
      <c r="C1902" s="0" t="inlineStr">
        <is>
          <t>Plaid Button Down Shirt Men's</t>
        </is>
      </c>
      <c r="D1902" s="1">
        <v>126035</v>
      </c>
      <c r="E1902" s="0" t="inlineStr">
        <is>
          <t>IOWA GOLF M BK:126035GT-4XL TALL</t>
        </is>
      </c>
      <c r="F1902" s="2">
        <v>800126035203</v>
      </c>
      <c r="G1902" s="0" t="inlineStr">
        <is>
          <t>MENS</t>
        </is>
      </c>
      <c r="H1902" s="0" t="inlineStr">
        <is>
          <t>4XL TALL</t>
        </is>
      </c>
      <c r="I1902" s="0">
        <v>93.99</v>
      </c>
      <c r="J1902" s="0">
        <v>2</v>
      </c>
    </row>
    <row r="1903" spans="1:10" customHeight="0">
      <c r="A1903" s="0">
        <f>HYPERLINK("https://dl.dropboxusercontent.com/scl/fi/x1p5v66kcor01whuqlqqc/iowabutton31226.jpg?rlkey=p5wry0y811kh6gz5b63gkx82l&amp;dl=0","Click to download Image")</f>
      </c>
      <c r="B1903" s="0">
        <f>HYPERLINK("https://dl.dropboxusercontent.com/scl/fi/ha0lknco06ajnchhtgp19/2january-20201mens.jpg?rlkey=9txcvgc1yqjwfw140kbthngti&amp;dl=0","Click to download SizeChart")</f>
      </c>
      <c r="C1903" s="0" t="inlineStr">
        <is>
          <t>Plaid Button Down Shirt Men's</t>
        </is>
      </c>
      <c r="D1903" s="1">
        <v>126035</v>
      </c>
      <c r="E1903" s="0" t="inlineStr">
        <is>
          <t>IOWA GOLF M BK:126035HT-5XL TALL</t>
        </is>
      </c>
      <c r="F1903" s="2">
        <v>800126035210</v>
      </c>
      <c r="G1903" s="0" t="inlineStr">
        <is>
          <t>MENS</t>
        </is>
      </c>
      <c r="H1903" s="0" t="inlineStr">
        <is>
          <t>5XL TALL</t>
        </is>
      </c>
      <c r="I1903" s="0">
        <v>93.99</v>
      </c>
      <c r="J1903" s="0">
        <v>6</v>
      </c>
    </row>
    <row r="1904" spans="1:10" customHeight="0">
      <c r="A1904" s="0">
        <f>HYPERLINK("https://dl.dropboxusercontent.com/scl/fi/x1p5v66kcor01whuqlqqc/iowabutton31226.jpg?rlkey=p5wry0y811kh6gz5b63gkx82l&amp;dl=0","Click to download Image")</f>
      </c>
      <c r="B1904" s="0">
        <f>HYPERLINK("https://dl.dropboxusercontent.com/scl/fi/ha0lknco06ajnchhtgp19/2january-20201mens.jpg?rlkey=9txcvgc1yqjwfw140kbthngti&amp;dl=0","Click to download SizeChart")</f>
      </c>
      <c r="C1904" s="0" t="inlineStr">
        <is>
          <t>Plaid Button Down Shirt Men's</t>
        </is>
      </c>
      <c r="D1904" s="1">
        <v>126035</v>
      </c>
      <c r="E1904" s="0" t="inlineStr">
        <is>
          <t>IOWA GOLF M BK:126035EB-2XL BIG</t>
        </is>
      </c>
      <c r="F1904" s="2">
        <v>800126035456</v>
      </c>
      <c r="G1904" s="0" t="inlineStr">
        <is>
          <t>MENS</t>
        </is>
      </c>
      <c r="H1904" s="0" t="inlineStr">
        <is>
          <t>2XL BIG</t>
        </is>
      </c>
      <c r="I1904" s="0">
        <v>91.99</v>
      </c>
      <c r="J1904" s="0">
        <v>6</v>
      </c>
    </row>
    <row r="1905" spans="1:10" customHeight="0">
      <c r="A1905" s="0">
        <f>HYPERLINK("https://dl.dropboxusercontent.com/scl/fi/x1p5v66kcor01whuqlqqc/iowabutton31226.jpg?rlkey=p5wry0y811kh6gz5b63gkx82l&amp;dl=0","Click to download Image")</f>
      </c>
      <c r="B1905" s="0">
        <f>HYPERLINK("https://dl.dropboxusercontent.com/scl/fi/ha0lknco06ajnchhtgp19/2january-20201mens.jpg?rlkey=9txcvgc1yqjwfw140kbthngti&amp;dl=0","Click to download SizeChart")</f>
      </c>
      <c r="C1905" s="0" t="inlineStr">
        <is>
          <t>Plaid Button Down Shirt Men's</t>
        </is>
      </c>
      <c r="D1905" s="1">
        <v>126035</v>
      </c>
      <c r="E1905" s="0" t="inlineStr">
        <is>
          <t>IOWA GOLF M BK:126035FB-3XL BIG</t>
        </is>
      </c>
      <c r="F1905" s="2">
        <v>800126035272</v>
      </c>
      <c r="G1905" s="0" t="inlineStr">
        <is>
          <t>MENS</t>
        </is>
      </c>
      <c r="H1905" s="0" t="inlineStr">
        <is>
          <t>3XL BIG</t>
        </is>
      </c>
      <c r="I1905" s="0">
        <v>91.99</v>
      </c>
      <c r="J1905" s="0">
        <v>2</v>
      </c>
    </row>
    <row r="1906" spans="1:10" customHeight="0">
      <c r="A1906" s="0">
        <f>HYPERLINK("https://dl.dropboxusercontent.com/scl/fi/x1p5v66kcor01whuqlqqc/iowabutton31226.jpg?rlkey=p5wry0y811kh6gz5b63gkx82l&amp;dl=0","Click to download Image")</f>
      </c>
      <c r="B1906" s="0">
        <f>HYPERLINK("https://dl.dropboxusercontent.com/scl/fi/ha0lknco06ajnchhtgp19/2january-20201mens.jpg?rlkey=9txcvgc1yqjwfw140kbthngti&amp;dl=0","Click to download SizeChart")</f>
      </c>
      <c r="C1906" s="0" t="inlineStr">
        <is>
          <t>Plaid Button Down Shirt Men's</t>
        </is>
      </c>
      <c r="D1906" s="1">
        <v>126035</v>
      </c>
      <c r="E1906" s="0" t="inlineStr">
        <is>
          <t>IOWA GOLF M BK:126035GB-4XL BIG</t>
        </is>
      </c>
      <c r="F1906" s="2">
        <v>800126035289</v>
      </c>
      <c r="G1906" s="0" t="inlineStr">
        <is>
          <t>MENS</t>
        </is>
      </c>
      <c r="H1906" s="0" t="inlineStr">
        <is>
          <t>4XL BIG</t>
        </is>
      </c>
      <c r="I1906" s="0">
        <v>93.99</v>
      </c>
      <c r="J1906" s="0">
        <v>3</v>
      </c>
    </row>
    <row r="1907" spans="1:10" customHeight="0">
      <c r="A1907" s="0">
        <f>HYPERLINK("https://dl.dropboxusercontent.com/scl/fi/x1p5v66kcor01whuqlqqc/iowabutton31226.jpg?rlkey=p5wry0y811kh6gz5b63gkx82l&amp;dl=0","Click to download Image")</f>
      </c>
      <c r="B1907" s="0">
        <f>HYPERLINK("https://dl.dropboxusercontent.com/scl/fi/ha0lknco06ajnchhtgp19/2january-20201mens.jpg?rlkey=9txcvgc1yqjwfw140kbthngti&amp;dl=0","Click to download SizeChart")</f>
      </c>
      <c r="C1907" s="0" t="inlineStr">
        <is>
          <t>Plaid Button Down Shirt Men's</t>
        </is>
      </c>
      <c r="D1907" s="1">
        <v>126035</v>
      </c>
      <c r="E1907" s="0" t="inlineStr">
        <is>
          <t>IOWA GOLF M BK:126035HB-5XL BIG</t>
        </is>
      </c>
      <c r="F1907" s="2">
        <v>800126035296</v>
      </c>
      <c r="G1907" s="0" t="inlineStr">
        <is>
          <t>MENS</t>
        </is>
      </c>
      <c r="H1907" s="0" t="inlineStr">
        <is>
          <t>5XL BIG</t>
        </is>
      </c>
      <c r="I1907" s="0">
        <v>93.99</v>
      </c>
      <c r="J1907" s="0">
        <v>7</v>
      </c>
    </row>
    <row r="1908" spans="1:10" customHeight="0">
      <c r="A1908" s="0">
        <f>HYPERLINK("https://dl.dropboxusercontent.com/scl/fi/vl07z7ums94gk72fmyxli/hillary3.jpg?rlkey=dzcbpjfh2qut4tli3yuo1jy7e&amp;dl=0","Click to download Image")</f>
      </c>
      <c r="B1908" s="0">
        <f>HYPERLINK("https://dl.dropboxusercontent.com/scl/fi/x25wxjxvkv3n14gkiobq6/womens-jersey-size-chartskalani.jpg?rlkey=0n4tmnx7r2p9pgf8yj6z2quo8&amp;dl=0","Click to download SizeChart")</f>
      </c>
      <c r="C1908" s="0" t="inlineStr">
        <is>
          <t>Hillary Women's Relaxed Bike Jersey</t>
        </is>
      </c>
      <c r="D1908" s="1">
        <v>112584</v>
      </c>
      <c r="E1908" s="0" t="inlineStr">
        <is>
          <t>IOWA HILLARY BLACK:112584A-S</t>
        </is>
      </c>
      <c r="F1908" s="2">
        <v>800112584043</v>
      </c>
      <c r="G1908" s="0" t="inlineStr">
        <is>
          <t>WOMENS</t>
        </is>
      </c>
      <c r="H1908" s="0" t="inlineStr">
        <is>
          <t>S</t>
        </is>
      </c>
      <c r="I1908" s="0">
        <v>64.99</v>
      </c>
      <c r="J1908" s="0">
        <v>38</v>
      </c>
    </row>
    <row r="1909" spans="1:10" customHeight="0">
      <c r="A1909" s="0">
        <f>HYPERLINK("https://dl.dropboxusercontent.com/scl/fi/vl07z7ums94gk72fmyxli/hillary3.jpg?rlkey=dzcbpjfh2qut4tli3yuo1jy7e&amp;dl=0","Click to download Image")</f>
      </c>
      <c r="B1909" s="0">
        <f>HYPERLINK("https://dl.dropboxusercontent.com/scl/fi/x25wxjxvkv3n14gkiobq6/womens-jersey-size-chartskalani.jpg?rlkey=0n4tmnx7r2p9pgf8yj6z2quo8&amp;dl=0","Click to download SizeChart")</f>
      </c>
      <c r="C1909" s="0" t="inlineStr">
        <is>
          <t>Hillary Women's Relaxed Bike Jersey</t>
        </is>
      </c>
      <c r="D1909" s="1">
        <v>112584</v>
      </c>
      <c r="E1909" s="0" t="inlineStr">
        <is>
          <t>IOWA HILLARY BLACK:112584B-M</t>
        </is>
      </c>
      <c r="F1909" s="2">
        <v>800112584050</v>
      </c>
      <c r="G1909" s="0" t="inlineStr">
        <is>
          <t>WOMENS</t>
        </is>
      </c>
      <c r="H1909" s="0" t="inlineStr">
        <is>
          <t>M</t>
        </is>
      </c>
      <c r="I1909" s="0">
        <v>64.99</v>
      </c>
      <c r="J1909" s="0">
        <v>48</v>
      </c>
    </row>
    <row r="1910" spans="1:10" customHeight="0">
      <c r="A1910" s="0">
        <f>HYPERLINK("https://dl.dropboxusercontent.com/scl/fi/vl07z7ums94gk72fmyxli/hillary3.jpg?rlkey=dzcbpjfh2qut4tli3yuo1jy7e&amp;dl=0","Click to download Image")</f>
      </c>
      <c r="B1910" s="0">
        <f>HYPERLINK("https://dl.dropboxusercontent.com/scl/fi/x25wxjxvkv3n14gkiobq6/womens-jersey-size-chartskalani.jpg?rlkey=0n4tmnx7r2p9pgf8yj6z2quo8&amp;dl=0","Click to download SizeChart")</f>
      </c>
      <c r="C1910" s="0" t="inlineStr">
        <is>
          <t>Hillary Women's Relaxed Bike Jersey</t>
        </is>
      </c>
      <c r="D1910" s="1">
        <v>112584</v>
      </c>
      <c r="E1910" s="0" t="inlineStr">
        <is>
          <t>IOWA HILLARY BLACK:112584C-L</t>
        </is>
      </c>
      <c r="F1910" s="2">
        <v>800112584067</v>
      </c>
      <c r="G1910" s="0" t="inlineStr">
        <is>
          <t>WOMENS</t>
        </is>
      </c>
      <c r="H1910" s="0" t="inlineStr">
        <is>
          <t>L</t>
        </is>
      </c>
      <c r="I1910" s="0">
        <v>64.99</v>
      </c>
      <c r="J1910" s="0">
        <v>46</v>
      </c>
    </row>
    <row r="1911" spans="1:10" customHeight="0">
      <c r="A1911" s="0">
        <f>HYPERLINK("https://dl.dropboxusercontent.com/scl/fi/vl07z7ums94gk72fmyxli/hillary3.jpg?rlkey=dzcbpjfh2qut4tli3yuo1jy7e&amp;dl=0","Click to download Image")</f>
      </c>
      <c r="B1911" s="0">
        <f>HYPERLINK("https://dl.dropboxusercontent.com/scl/fi/x25wxjxvkv3n14gkiobq6/womens-jersey-size-chartskalani.jpg?rlkey=0n4tmnx7r2p9pgf8yj6z2quo8&amp;dl=0","Click to download SizeChart")</f>
      </c>
      <c r="C1911" s="0" t="inlineStr">
        <is>
          <t>Hillary Women's Relaxed Bike Jersey</t>
        </is>
      </c>
      <c r="D1911" s="1">
        <v>112584</v>
      </c>
      <c r="E1911" s="0" t="inlineStr">
        <is>
          <t>IOWA HILLARY BLACK:112584D-XL</t>
        </is>
      </c>
      <c r="F1911" s="2">
        <v>800112584074</v>
      </c>
      <c r="G1911" s="0" t="inlineStr">
        <is>
          <t>WOMENS</t>
        </is>
      </c>
      <c r="H1911" s="0" t="inlineStr">
        <is>
          <t>XL</t>
        </is>
      </c>
      <c r="I1911" s="0">
        <v>64.99</v>
      </c>
      <c r="J1911" s="0">
        <v>33</v>
      </c>
    </row>
    <row r="1912" spans="1:10" customHeight="0">
      <c r="A1912" s="0">
        <f>HYPERLINK("https://dl.dropboxusercontent.com/scl/fi/vl07z7ums94gk72fmyxli/hillary3.jpg?rlkey=dzcbpjfh2qut4tli3yuo1jy7e&amp;dl=0","Click to download Image")</f>
      </c>
      <c r="B1912" s="0">
        <f>HYPERLINK("https://dl.dropboxusercontent.com/scl/fi/x25wxjxvkv3n14gkiobq6/womens-jersey-size-chartskalani.jpg?rlkey=0n4tmnx7r2p9pgf8yj6z2quo8&amp;dl=0","Click to download SizeChart")</f>
      </c>
      <c r="C1912" s="0" t="inlineStr">
        <is>
          <t>Hillary Women's Relaxed Bike Jersey</t>
        </is>
      </c>
      <c r="D1912" s="1">
        <v>112584</v>
      </c>
      <c r="E1912" s="0" t="inlineStr">
        <is>
          <t>IOWA HILLARY BLACK:112584E-2XL</t>
        </is>
      </c>
      <c r="F1912" s="2">
        <v>800112584081</v>
      </c>
      <c r="G1912" s="0" t="inlineStr">
        <is>
          <t>WOMENS</t>
        </is>
      </c>
      <c r="H1912" s="0" t="inlineStr">
        <is>
          <t>2XL</t>
        </is>
      </c>
      <c r="I1912" s="0">
        <v>64.99</v>
      </c>
      <c r="J1912" s="0">
        <v>14</v>
      </c>
    </row>
    <row r="1913" spans="1:10" customHeight="0">
      <c r="A1913" s="0">
        <f>HYPERLINK("https://dl.dropboxusercontent.com/scl/fi/vl07z7ums94gk72fmyxli/hillary3.jpg?rlkey=dzcbpjfh2qut4tli3yuo1jy7e&amp;dl=0","Click to download Image")</f>
      </c>
      <c r="B1913" s="0">
        <f>HYPERLINK("https://dl.dropboxusercontent.com/scl/fi/x25wxjxvkv3n14gkiobq6/womens-jersey-size-chartskalani.jpg?rlkey=0n4tmnx7r2p9pgf8yj6z2quo8&amp;dl=0","Click to download SizeChart")</f>
      </c>
      <c r="C1913" s="0" t="inlineStr">
        <is>
          <t>Hillary Women's Relaxed Bike Jersey</t>
        </is>
      </c>
      <c r="D1913" s="1">
        <v>112584</v>
      </c>
      <c r="E1913" s="0" t="inlineStr">
        <is>
          <t>IOWA HILLARY BLACK:112584F-3XL</t>
        </is>
      </c>
      <c r="F1913" s="2">
        <v>800112584098</v>
      </c>
      <c r="G1913" s="0" t="inlineStr">
        <is>
          <t>WOMENS</t>
        </is>
      </c>
      <c r="H1913" s="0" t="inlineStr">
        <is>
          <t>3XL</t>
        </is>
      </c>
      <c r="I1913" s="0">
        <v>64.99</v>
      </c>
      <c r="J1913" s="0">
        <v>4</v>
      </c>
    </row>
    <row r="1914" spans="1:10" customHeight="0">
      <c r="A1914" s="0">
        <f>HYPERLINK("https://dl.dropboxusercontent.com/scl/fi/vl07z7ums94gk72fmyxli/hillary3.jpg?rlkey=dzcbpjfh2qut4tli3yuo1jy7e&amp;dl=0","Click to download Image")</f>
      </c>
      <c r="B1914" s="0">
        <f>HYPERLINK("https://dl.dropboxusercontent.com/scl/fi/x25wxjxvkv3n14gkiobq6/womens-jersey-size-chartskalani.jpg?rlkey=0n4tmnx7r2p9pgf8yj6z2quo8&amp;dl=0","Click to download SizeChart")</f>
      </c>
      <c r="C1914" s="0" t="inlineStr">
        <is>
          <t>Hillary Women's Relaxed Bike Jersey</t>
        </is>
      </c>
      <c r="D1914" s="1">
        <v>112584</v>
      </c>
      <c r="E1914" s="0" t="inlineStr">
        <is>
          <t>IOWA HILLARY BLACK 12 PACK:112584Z-12PK</t>
        </is>
      </c>
      <c r="F1914" s="2">
        <v>800112584999</v>
      </c>
      <c r="G1914" s="0" t="inlineStr">
        <is>
          <t>WOMENS</t>
        </is>
      </c>
      <c r="H1914" s="0" t="inlineStr">
        <is>
          <t>12 PACK</t>
        </is>
      </c>
      <c r="I1914" s="0">
        <v>64.99</v>
      </c>
      <c r="J1914" s="0">
        <v>0</v>
      </c>
    </row>
    <row r="1915" spans="1:10" customHeight="0">
      <c r="A1915" s="0">
        <f>HYPERLINK("https://dl.dropboxusercontent.com/scl/fi/wfca1afdl27yw6tt0hka9/113289-f.jpg?rlkey=vt1c8a6hh52js7q35nmdu7s80&amp;dl=0","Click to download Image")</f>
      </c>
      <c r="B1915" s="0">
        <f>HYPERLINK("https://dl.dropboxusercontent.com/scl/fi/kh014be67fh5lntz4b4p6/graphic-update22022-youth.jpg?rlkey=xmal0n30p4c7lwm33yyz2dazy&amp;dl=0","Click to download SizeChart")</f>
      </c>
      <c r="C1915" s="0" t="inlineStr">
        <is>
          <t>Saylor Youth Girls Military Jacket</t>
        </is>
      </c>
      <c r="D1915" s="1">
        <v>113289</v>
      </c>
      <c r="E1915" s="0" t="inlineStr">
        <is>
          <t>IOWA SAYLOR Y GOLD:113289B-YS</t>
        </is>
      </c>
      <c r="F1915" s="2">
        <v>800113289015</v>
      </c>
      <c r="G1915" s="0" t="inlineStr">
        <is>
          <t>YOUTH</t>
        </is>
      </c>
      <c r="H1915" s="0" t="inlineStr">
        <is>
          <t>YS</t>
        </is>
      </c>
      <c r="I1915" s="0">
        <v>49.99</v>
      </c>
      <c r="J1915" s="0">
        <v>12</v>
      </c>
    </row>
    <row r="1916" spans="1:10" customHeight="0">
      <c r="A1916" s="0">
        <f>HYPERLINK("https://dl.dropboxusercontent.com/scl/fi/wfca1afdl27yw6tt0hka9/113289-f.jpg?rlkey=vt1c8a6hh52js7q35nmdu7s80&amp;dl=0","Click to download Image")</f>
      </c>
      <c r="B1916" s="0">
        <f>HYPERLINK("https://dl.dropboxusercontent.com/scl/fi/kh014be67fh5lntz4b4p6/graphic-update22022-youth.jpg?rlkey=xmal0n30p4c7lwm33yyz2dazy&amp;dl=0","Click to download SizeChart")</f>
      </c>
      <c r="C1916" s="0" t="inlineStr">
        <is>
          <t>Saylor Youth Girls Military Jacket</t>
        </is>
      </c>
      <c r="D1916" s="1">
        <v>113289</v>
      </c>
      <c r="E1916" s="0" t="inlineStr">
        <is>
          <t>IOWA SAYLOR Y GOLD:113289C-YM</t>
        </is>
      </c>
      <c r="F1916" s="2">
        <v>800113289022</v>
      </c>
      <c r="G1916" s="0" t="inlineStr">
        <is>
          <t>YOUTH</t>
        </is>
      </c>
      <c r="H1916" s="0" t="inlineStr">
        <is>
          <t>YM</t>
        </is>
      </c>
      <c r="I1916" s="0">
        <v>49.99</v>
      </c>
      <c r="J1916" s="0">
        <v>12</v>
      </c>
    </row>
    <row r="1917" spans="1:10" customHeight="0">
      <c r="A1917" s="0">
        <f>HYPERLINK("https://dl.dropboxusercontent.com/scl/fi/wfca1afdl27yw6tt0hka9/113289-f.jpg?rlkey=vt1c8a6hh52js7q35nmdu7s80&amp;dl=0","Click to download Image")</f>
      </c>
      <c r="B1917" s="0">
        <f>HYPERLINK("https://dl.dropboxusercontent.com/scl/fi/kh014be67fh5lntz4b4p6/graphic-update22022-youth.jpg?rlkey=xmal0n30p4c7lwm33yyz2dazy&amp;dl=0","Click to download SizeChart")</f>
      </c>
      <c r="C1917" s="0" t="inlineStr">
        <is>
          <t>Saylor Youth Girls Military Jacket</t>
        </is>
      </c>
      <c r="D1917" s="1">
        <v>113289</v>
      </c>
      <c r="E1917" s="0" t="inlineStr">
        <is>
          <t>IOWA SAYLOR Y GOLD:113289D-YL</t>
        </is>
      </c>
      <c r="F1917" s="2">
        <v>800113289039</v>
      </c>
      <c r="G1917" s="0" t="inlineStr">
        <is>
          <t>YOUTH</t>
        </is>
      </c>
      <c r="H1917" s="0" t="inlineStr">
        <is>
          <t>YL</t>
        </is>
      </c>
      <c r="I1917" s="0">
        <v>49.99</v>
      </c>
      <c r="J1917" s="0">
        <v>11</v>
      </c>
    </row>
    <row r="1918" spans="1:10" customHeight="0">
      <c r="A1918" s="0">
        <f>HYPERLINK("https://dl.dropboxusercontent.com/scl/fi/wfca1afdl27yw6tt0hka9/113289-f.jpg?rlkey=vt1c8a6hh52js7q35nmdu7s80&amp;dl=0","Click to download Image")</f>
      </c>
      <c r="B1918" s="0">
        <f>HYPERLINK("https://dl.dropboxusercontent.com/scl/fi/kh014be67fh5lntz4b4p6/graphic-update22022-youth.jpg?rlkey=xmal0n30p4c7lwm33yyz2dazy&amp;dl=0","Click to download SizeChart")</f>
      </c>
      <c r="C1918" s="0" t="inlineStr">
        <is>
          <t>Saylor Youth Girls Military Jacket</t>
        </is>
      </c>
      <c r="D1918" s="1">
        <v>113289</v>
      </c>
      <c r="E1918" s="0" t="inlineStr">
        <is>
          <t>IOWA SAYLOR Y GOLD:113289E-YXL</t>
        </is>
      </c>
      <c r="F1918" s="2">
        <v>800113289046</v>
      </c>
      <c r="G1918" s="0" t="inlineStr">
        <is>
          <t>YOUTH</t>
        </is>
      </c>
      <c r="H1918" s="0" t="inlineStr">
        <is>
          <t>YXL</t>
        </is>
      </c>
      <c r="I1918" s="0">
        <v>49.99</v>
      </c>
      <c r="J1918" s="0">
        <v>12</v>
      </c>
    </row>
    <row r="1919" spans="1:10" customHeight="0">
      <c r="A1919" s="0">
        <f>HYPERLINK("https://dl.dropboxusercontent.com/scl/fi/wfca1afdl27yw6tt0hka9/113289-f.jpg?rlkey=vt1c8a6hh52js7q35nmdu7s80&amp;dl=0","Click to download Image")</f>
      </c>
      <c r="B1919" s="0">
        <f>HYPERLINK("https://dl.dropboxusercontent.com/scl/fi/kh014be67fh5lntz4b4p6/graphic-update22022-youth.jpg?rlkey=xmal0n30p4c7lwm33yyz2dazy&amp;dl=0","Click to download SizeChart")</f>
      </c>
      <c r="C1919" s="0" t="inlineStr">
        <is>
          <t>Saylor Youth Girls Military Jacket</t>
        </is>
      </c>
      <c r="D1919" s="1">
        <v>113289</v>
      </c>
      <c r="E1919" s="0" t="inlineStr">
        <is>
          <t>IOWA SAYLOR Y GOLD 12PK:113289Z-12PK</t>
        </is>
      </c>
      <c r="F1919" s="2">
        <v>800113289992</v>
      </c>
      <c r="G1919" s="0" t="inlineStr">
        <is>
          <t>YOUTH</t>
        </is>
      </c>
      <c r="H1919" s="0" t="inlineStr">
        <is>
          <t>12 PACK</t>
        </is>
      </c>
      <c r="I1919" s="0">
        <v>480</v>
      </c>
      <c r="J1919" s="0">
        <v>0</v>
      </c>
    </row>
    <row r="1920" spans="1:10" customHeight="0">
      <c r="A1920" s="0">
        <f>HYPERLINK("https://dl.dropboxusercontent.com/scl/fi/pss6pdntxrnjqq9wi059q/113289-f.jpg?rlkey=ypo781b1qwllamrk477q8ocus&amp;dl=0","Click to download Image")</f>
      </c>
      <c r="B1920" s="0">
        <f>HYPERLINK("https://dl.dropboxusercontent.com/scl/fi/2j6fgrfif0u87fcc1vdnt/graphic-update22022-toddler.jpg?rlkey=m3l424beljc3upsggg40fnrd1&amp;dl=0","Click to download SizeChart")</f>
      </c>
      <c r="C1920" s="0" t="inlineStr">
        <is>
          <t>Saylor Toddler Girls Military Jacket</t>
        </is>
      </c>
      <c r="D1920" s="1">
        <v>114848</v>
      </c>
      <c r="E1920" s="0" t="inlineStr">
        <is>
          <t>IOWA SAYLOR T GY:114848A-2T</t>
        </is>
      </c>
      <c r="F1920" s="2">
        <v>800114848082</v>
      </c>
      <c r="G1920" s="0" t="inlineStr">
        <is>
          <t>TODDLER</t>
        </is>
      </c>
      <c r="H1920" s="0" t="inlineStr">
        <is>
          <t>2T</t>
        </is>
      </c>
      <c r="I1920" s="0">
        <v>49.99</v>
      </c>
      <c r="J1920" s="0">
        <v>12</v>
      </c>
    </row>
    <row r="1921" spans="1:10" customHeight="0">
      <c r="A1921" s="0">
        <f>HYPERLINK("https://dl.dropboxusercontent.com/scl/fi/pss6pdntxrnjqq9wi059q/113289-f.jpg?rlkey=ypo781b1qwllamrk477q8ocus&amp;dl=0","Click to download Image")</f>
      </c>
      <c r="B1921" s="0">
        <f>HYPERLINK("https://dl.dropboxusercontent.com/scl/fi/2j6fgrfif0u87fcc1vdnt/graphic-update22022-toddler.jpg?rlkey=m3l424beljc3upsggg40fnrd1&amp;dl=0","Click to download SizeChart")</f>
      </c>
      <c r="C1921" s="0" t="inlineStr">
        <is>
          <t>Saylor Toddler Girls Military Jacket</t>
        </is>
      </c>
      <c r="D1921" s="1">
        <v>114848</v>
      </c>
      <c r="E1921" s="0" t="inlineStr">
        <is>
          <t>IOWA SAYLOR T GY:114848B-3T</t>
        </is>
      </c>
      <c r="F1921" s="2">
        <v>800114848099</v>
      </c>
      <c r="G1921" s="0" t="inlineStr">
        <is>
          <t>TODDLER</t>
        </is>
      </c>
      <c r="H1921" s="0" t="inlineStr">
        <is>
          <t>3T</t>
        </is>
      </c>
      <c r="I1921" s="0">
        <v>49.99</v>
      </c>
      <c r="J1921" s="0">
        <v>12</v>
      </c>
    </row>
    <row r="1922" spans="1:10" customHeight="0">
      <c r="A1922" s="0">
        <f>HYPERLINK("https://dl.dropboxusercontent.com/scl/fi/pss6pdntxrnjqq9wi059q/113289-f.jpg?rlkey=ypo781b1qwllamrk477q8ocus&amp;dl=0","Click to download Image")</f>
      </c>
      <c r="B1922" s="0">
        <f>HYPERLINK("https://dl.dropboxusercontent.com/scl/fi/2j6fgrfif0u87fcc1vdnt/graphic-update22022-toddler.jpg?rlkey=m3l424beljc3upsggg40fnrd1&amp;dl=0","Click to download SizeChart")</f>
      </c>
      <c r="C1922" s="0" t="inlineStr">
        <is>
          <t>Saylor Toddler Girls Military Jacket</t>
        </is>
      </c>
      <c r="D1922" s="1">
        <v>114848</v>
      </c>
      <c r="E1922" s="0" t="inlineStr">
        <is>
          <t>IOWA SAYLOR T GY:114848C-4T</t>
        </is>
      </c>
      <c r="F1922" s="2">
        <v>800114848105</v>
      </c>
      <c r="G1922" s="0" t="inlineStr">
        <is>
          <t>TODDLER</t>
        </is>
      </c>
      <c r="H1922" s="0" t="inlineStr">
        <is>
          <t>4T</t>
        </is>
      </c>
      <c r="I1922" s="0">
        <v>49.99</v>
      </c>
      <c r="J1922" s="0">
        <v>12</v>
      </c>
    </row>
    <row r="1923" spans="1:10" customHeight="0">
      <c r="A1923" s="0">
        <f>HYPERLINK("https://dl.dropboxusercontent.com/scl/fi/pss6pdntxrnjqq9wi059q/113289-f.jpg?rlkey=ypo781b1qwllamrk477q8ocus&amp;dl=0","Click to download Image")</f>
      </c>
      <c r="B1923" s="0">
        <f>HYPERLINK("https://dl.dropboxusercontent.com/scl/fi/2j6fgrfif0u87fcc1vdnt/graphic-update22022-toddler.jpg?rlkey=m3l424beljc3upsggg40fnrd1&amp;dl=0","Click to download SizeChart")</f>
      </c>
      <c r="C1923" s="0" t="inlineStr">
        <is>
          <t>Saylor Toddler Girls Military Jacket</t>
        </is>
      </c>
      <c r="D1923" s="1">
        <v>114848</v>
      </c>
      <c r="E1923" s="0" t="inlineStr">
        <is>
          <t>IOWA SAYLOR T GY:114848D-5T</t>
        </is>
      </c>
      <c r="F1923" s="2">
        <v>800114848112</v>
      </c>
      <c r="G1923" s="0" t="inlineStr">
        <is>
          <t>TODDLER</t>
        </is>
      </c>
      <c r="H1923" s="0" t="inlineStr">
        <is>
          <t>5T</t>
        </is>
      </c>
      <c r="I1923" s="0">
        <v>49.99</v>
      </c>
      <c r="J1923" s="0">
        <v>10</v>
      </c>
    </row>
    <row r="1924" spans="1:10" customHeight="0">
      <c r="A1924" s="0">
        <f>HYPERLINK("https://dl.dropboxusercontent.com/scl/fi/pss6pdntxrnjqq9wi059q/113289-f.jpg?rlkey=ypo781b1qwllamrk477q8ocus&amp;dl=0","Click to download Image")</f>
      </c>
      <c r="B1924" s="0">
        <f>HYPERLINK("https://dl.dropboxusercontent.com/scl/fi/2j6fgrfif0u87fcc1vdnt/graphic-update22022-toddler.jpg?rlkey=m3l424beljc3upsggg40fnrd1&amp;dl=0","Click to download SizeChart")</f>
      </c>
      <c r="C1924" s="0" t="inlineStr">
        <is>
          <t>Saylor Toddler Girls Military Jacket</t>
        </is>
      </c>
      <c r="D1924" s="1">
        <v>114848</v>
      </c>
      <c r="E1924" s="0" t="inlineStr">
        <is>
          <t>IOWA SAYLOR T GY 12PK:114848Z-12PK</t>
        </is>
      </c>
      <c r="F1924" s="2">
        <v>800114848990</v>
      </c>
      <c r="G1924" s="0" t="inlineStr">
        <is>
          <t>TODDLER</t>
        </is>
      </c>
      <c r="H1924" s="0" t="inlineStr">
        <is>
          <t>12 PACK</t>
        </is>
      </c>
      <c r="I1924" s="0">
        <v>480</v>
      </c>
      <c r="J1924" s="0">
        <v>0</v>
      </c>
    </row>
    <row r="1925" spans="1:10" customHeight="0">
      <c r="A1925" s="0">
        <f>HYPERLINK("https://dl.dropboxusercontent.com/scl/fi/rm5l9vz7bm3qona2wcdow/113489af.jpg?rlkey=8ztdo0flup3f1qw0j3atgmqq1&amp;dl=0","Click to download Image")</f>
      </c>
      <c r="C1925" s="0" t="inlineStr">
        <is>
          <t>Solomon Youth Cap</t>
        </is>
      </c>
      <c r="D1925" s="1">
        <v>113490</v>
      </c>
      <c r="E1925" s="0" t="inlineStr">
        <is>
          <t>IOWA SOLOMAN:113490</t>
        </is>
      </c>
      <c r="F1925" s="2">
        <v>700113490032</v>
      </c>
      <c r="G1925" s="0" t="inlineStr">
        <is>
          <t>YOUTH</t>
        </is>
      </c>
      <c r="H1925" s="0" t="inlineStr">
        <is>
          <t>STANDARD:55CM</t>
        </is>
      </c>
      <c r="I1925" s="0">
        <v>24.99</v>
      </c>
      <c r="J1925" s="0">
        <v>48</v>
      </c>
    </row>
    <row r="1926" spans="1:10" customHeight="0">
      <c r="A1926" s="0">
        <f>HYPERLINK("https://dl.dropboxusercontent.com/scl/fi/4j3a400ns1s8yvcmdzeu4/121404-af-1.jpg?rlkey=3zplmopb589pndaywea9sdhh7&amp;dl=0","Click to download Image")</f>
      </c>
      <c r="C1926" s="0" t="inlineStr">
        <is>
          <t>Vera Convertible Crossbody</t>
        </is>
      </c>
      <c r="D1926" s="1">
        <v>121404</v>
      </c>
      <c r="E1926" s="0" t="inlineStr">
        <is>
          <t>IOWA VERA BP:121404</t>
        </is>
      </c>
      <c r="F1926" s="2">
        <v>900121404018</v>
      </c>
      <c r="I1926" s="0">
        <v>49.99</v>
      </c>
      <c r="J1926" s="0">
        <v>43</v>
      </c>
    </row>
    <row r="1927" spans="1:10" customHeight="0">
      <c r="A1927" s="0">
        <f>HYPERLINK("https://dl.dropboxusercontent.com/scl/fi/rjq0als002k48wxt6rx89/113458-af.jpg?rlkey=poe90j3qbvd6sgcffe5c7df25&amp;dl=0","Click to download Image")</f>
      </c>
      <c r="C1927" s="0" t="inlineStr">
        <is>
          <t>Spruce Men's Cap</t>
        </is>
      </c>
      <c r="D1927" s="1">
        <v>113458</v>
      </c>
      <c r="E1927" s="0" t="inlineStr">
        <is>
          <t>IOWA SPRUCE:113458</t>
        </is>
      </c>
      <c r="F1927" s="2">
        <v>700113458001</v>
      </c>
      <c r="G1927" s="0" t="inlineStr">
        <is>
          <t>MENS</t>
        </is>
      </c>
      <c r="H1927" s="0" t="inlineStr">
        <is>
          <t>STANDARD MENS</t>
        </is>
      </c>
      <c r="I1927" s="0">
        <v>19.99</v>
      </c>
      <c r="J1927" s="0">
        <v>197</v>
      </c>
    </row>
    <row r="1928" spans="1:10" customHeight="0">
      <c r="A1928" s="0">
        <f>HYPERLINK("https://dl.dropboxusercontent.com/scl/fi/wfeox2l3n5vptv3wr0srx/121025-af.jpg?rlkey=2vi8ht1e7r9fa388wrq0lqf10&amp;dl=0","Click to download Image")</f>
      </c>
      <c r="B1928" s="0">
        <f>HYPERLINK("https://dl.dropboxusercontent.com/scl/fi/25tv3x0dtxcgiszkz8xvk/womens-size-chartsstrider.jpg?rlkey=0aa56wuji1a3ze933ijfj6gl2&amp;dl=0","Click to download SizeChart")</f>
      </c>
      <c r="C1928" s="0" t="inlineStr">
        <is>
          <t>Strider Women's Cardigan</t>
        </is>
      </c>
      <c r="D1928" s="1">
        <v>121025</v>
      </c>
      <c r="E1928" s="0" t="inlineStr">
        <is>
          <t>IOWA STRIDER W BLACK:121025A-S</t>
        </is>
      </c>
      <c r="F1928" s="2">
        <v>800121025049</v>
      </c>
      <c r="G1928" s="0" t="inlineStr">
        <is>
          <t>WOMENS</t>
        </is>
      </c>
      <c r="H1928" s="0" t="inlineStr">
        <is>
          <t>S</t>
        </is>
      </c>
      <c r="I1928" s="0">
        <v>49.99</v>
      </c>
      <c r="J1928" s="0">
        <v>1</v>
      </c>
    </row>
    <row r="1929" spans="1:10" customHeight="0">
      <c r="A1929" s="0">
        <f>HYPERLINK("https://dl.dropboxusercontent.com/scl/fi/wfeox2l3n5vptv3wr0srx/121025-af.jpg?rlkey=2vi8ht1e7r9fa388wrq0lqf10&amp;dl=0","Click to download Image")</f>
      </c>
      <c r="B1929" s="0">
        <f>HYPERLINK("https://dl.dropboxusercontent.com/scl/fi/25tv3x0dtxcgiszkz8xvk/womens-size-chartsstrider.jpg?rlkey=0aa56wuji1a3ze933ijfj6gl2&amp;dl=0","Click to download SizeChart")</f>
      </c>
      <c r="C1929" s="0" t="inlineStr">
        <is>
          <t>Strider Women's Cardigan</t>
        </is>
      </c>
      <c r="D1929" s="1">
        <v>121025</v>
      </c>
      <c r="E1929" s="0" t="inlineStr">
        <is>
          <t>IOWA STRIDER W BLACK:121025B-M</t>
        </is>
      </c>
      <c r="F1929" s="2">
        <v>800121025056</v>
      </c>
      <c r="G1929" s="0" t="inlineStr">
        <is>
          <t>WOMENS</t>
        </is>
      </c>
      <c r="H1929" s="0" t="inlineStr">
        <is>
          <t>M</t>
        </is>
      </c>
      <c r="I1929" s="0">
        <v>49.99</v>
      </c>
      <c r="J1929" s="0">
        <v>17</v>
      </c>
    </row>
    <row r="1930" spans="1:10" customHeight="0">
      <c r="A1930" s="0">
        <f>HYPERLINK("https://dl.dropboxusercontent.com/scl/fi/wfeox2l3n5vptv3wr0srx/121025-af.jpg?rlkey=2vi8ht1e7r9fa388wrq0lqf10&amp;dl=0","Click to download Image")</f>
      </c>
      <c r="B1930" s="0">
        <f>HYPERLINK("https://dl.dropboxusercontent.com/scl/fi/25tv3x0dtxcgiszkz8xvk/womens-size-chartsstrider.jpg?rlkey=0aa56wuji1a3ze933ijfj6gl2&amp;dl=0","Click to download SizeChart")</f>
      </c>
      <c r="C1930" s="0" t="inlineStr">
        <is>
          <t>Strider Women's Cardigan</t>
        </is>
      </c>
      <c r="D1930" s="1">
        <v>121025</v>
      </c>
      <c r="E1930" s="0" t="inlineStr">
        <is>
          <t>IOWA STRIDER W BLACK:121025C-L</t>
        </is>
      </c>
      <c r="F1930" s="2">
        <v>800121025063</v>
      </c>
      <c r="G1930" s="0" t="inlineStr">
        <is>
          <t>WOMENS</t>
        </is>
      </c>
      <c r="H1930" s="0" t="inlineStr">
        <is>
          <t>L</t>
        </is>
      </c>
      <c r="I1930" s="0">
        <v>49.99</v>
      </c>
      <c r="J1930" s="0">
        <v>16</v>
      </c>
    </row>
    <row r="1931" spans="1:10" customHeight="0">
      <c r="A1931" s="0">
        <f>HYPERLINK("https://dl.dropboxusercontent.com/scl/fi/wfeox2l3n5vptv3wr0srx/121025-af.jpg?rlkey=2vi8ht1e7r9fa388wrq0lqf10&amp;dl=0","Click to download Image")</f>
      </c>
      <c r="B1931" s="0">
        <f>HYPERLINK("https://dl.dropboxusercontent.com/scl/fi/25tv3x0dtxcgiszkz8xvk/womens-size-chartsstrider.jpg?rlkey=0aa56wuji1a3ze933ijfj6gl2&amp;dl=0","Click to download SizeChart")</f>
      </c>
      <c r="C1931" s="0" t="inlineStr">
        <is>
          <t>Strider Women's Cardigan</t>
        </is>
      </c>
      <c r="D1931" s="1">
        <v>121025</v>
      </c>
      <c r="E1931" s="0" t="inlineStr">
        <is>
          <t>IOWA STRIDER W BLACK:121025D-XL</t>
        </is>
      </c>
      <c r="F1931" s="2">
        <v>800121025070</v>
      </c>
      <c r="G1931" s="0" t="inlineStr">
        <is>
          <t>WOMENS</t>
        </is>
      </c>
      <c r="H1931" s="0" t="inlineStr">
        <is>
          <t>XL</t>
        </is>
      </c>
      <c r="I1931" s="0">
        <v>49.99</v>
      </c>
      <c r="J1931" s="0">
        <v>0</v>
      </c>
    </row>
    <row r="1932" spans="1:10" customHeight="0">
      <c r="A1932" s="0">
        <f>HYPERLINK("https://dl.dropboxusercontent.com/scl/fi/wfeox2l3n5vptv3wr0srx/121025-af.jpg?rlkey=2vi8ht1e7r9fa388wrq0lqf10&amp;dl=0","Click to download Image")</f>
      </c>
      <c r="B1932" s="0">
        <f>HYPERLINK("https://dl.dropboxusercontent.com/scl/fi/25tv3x0dtxcgiszkz8xvk/womens-size-chartsstrider.jpg?rlkey=0aa56wuji1a3ze933ijfj6gl2&amp;dl=0","Click to download SizeChart")</f>
      </c>
      <c r="C1932" s="0" t="inlineStr">
        <is>
          <t>Strider Women's Cardigan</t>
        </is>
      </c>
      <c r="D1932" s="1">
        <v>121025</v>
      </c>
      <c r="E1932" s="0" t="inlineStr">
        <is>
          <t>IOWA STRIDER W BLACK:121025E-2XL</t>
        </is>
      </c>
      <c r="F1932" s="2">
        <v>800121025087</v>
      </c>
      <c r="G1932" s="0" t="inlineStr">
        <is>
          <t>WOMENS</t>
        </is>
      </c>
      <c r="H1932" s="0" t="inlineStr">
        <is>
          <t>2XL</t>
        </is>
      </c>
      <c r="I1932" s="0">
        <v>51.99</v>
      </c>
      <c r="J1932" s="0">
        <v>0</v>
      </c>
    </row>
    <row r="1933" spans="1:10" customHeight="0">
      <c r="A1933" s="0">
        <f>HYPERLINK("https://dl.dropboxusercontent.com/scl/fi/wfeox2l3n5vptv3wr0srx/121025-af.jpg?rlkey=2vi8ht1e7r9fa388wrq0lqf10&amp;dl=0","Click to download Image")</f>
      </c>
      <c r="B1933" s="0">
        <f>HYPERLINK("https://dl.dropboxusercontent.com/scl/fi/25tv3x0dtxcgiszkz8xvk/womens-size-chartsstrider.jpg?rlkey=0aa56wuji1a3ze933ijfj6gl2&amp;dl=0","Click to download SizeChart")</f>
      </c>
      <c r="C1933" s="0" t="inlineStr">
        <is>
          <t>Strider Women's Cardigan</t>
        </is>
      </c>
      <c r="D1933" s="1">
        <v>121025</v>
      </c>
      <c r="E1933" s="0" t="inlineStr">
        <is>
          <t>IOWA STRIDER W BLACK:121025F-3XL</t>
        </is>
      </c>
      <c r="F1933" s="2">
        <v>800121025094</v>
      </c>
      <c r="G1933" s="0" t="inlineStr">
        <is>
          <t>WOMENS</t>
        </is>
      </c>
      <c r="H1933" s="0" t="inlineStr">
        <is>
          <t>3XL</t>
        </is>
      </c>
      <c r="I1933" s="0">
        <v>51.99</v>
      </c>
      <c r="J1933" s="0">
        <v>0</v>
      </c>
    </row>
    <row r="1934" spans="1:10" customHeight="0">
      <c r="A1934" s="0">
        <f>HYPERLINK("https://dl.dropboxusercontent.com/scl/fi/wfeox2l3n5vptv3wr0srx/121025-af.jpg?rlkey=2vi8ht1e7r9fa388wrq0lqf10&amp;dl=0","Click to download Image")</f>
      </c>
      <c r="B1934" s="0">
        <f>HYPERLINK("https://dl.dropboxusercontent.com/scl/fi/25tv3x0dtxcgiszkz8xvk/womens-size-chartsstrider.jpg?rlkey=0aa56wuji1a3ze933ijfj6gl2&amp;dl=0","Click to download SizeChart")</f>
      </c>
      <c r="C1934" s="0" t="inlineStr">
        <is>
          <t>Strider Women's Cardigan</t>
        </is>
      </c>
      <c r="D1934" s="1">
        <v>121025</v>
      </c>
      <c r="E1934" s="0" t="inlineStr">
        <is>
          <t>IOWA STRIDER W BLACK  12 PACK:121025Z-12PK</t>
        </is>
      </c>
      <c r="F1934" s="2">
        <v>800121025995</v>
      </c>
      <c r="G1934" s="0" t="inlineStr">
        <is>
          <t>WOMENS</t>
        </is>
      </c>
      <c r="H1934" s="0" t="inlineStr">
        <is>
          <t>12 PACK</t>
        </is>
      </c>
      <c r="I1934" s="0">
        <v>480</v>
      </c>
      <c r="J1934" s="0">
        <v>0</v>
      </c>
    </row>
    <row r="1935" spans="1:10" customHeight="0">
      <c r="A1935" s="0">
        <f>HYPERLINK("https://dl.dropboxusercontent.com/scl/fi/shueyeqlhij64oo2wme0h/102677-af.jpg?rlkey=utc7b48ve9bp44iswxuj9zzd4&amp;dl=0","Click to download Image")</f>
      </c>
      <c r="B1935" s="0">
        <f>HYPERLINK("https://dl.dropboxusercontent.com/scl/fi/qpr3dm7x6x3linf7l4bpc/size-charts-mens-athletic-fit-shirt-1-1.jpg?rlkey=17jibud86taj7vacghcvfd33r&amp;dl=0","Click to download SizeChart")</f>
      </c>
      <c r="C1935" s="0" t="inlineStr">
        <is>
          <t>Meyer Bike Jersey</t>
        </is>
      </c>
      <c r="D1935" s="1">
        <v>102677</v>
      </c>
      <c r="E1935" s="0" t="inlineStr">
        <is>
          <t>MEYER:102677A-S</t>
        </is>
      </c>
      <c r="F1935" s="2">
        <v>80010267701</v>
      </c>
      <c r="G1935" s="0" t="inlineStr">
        <is>
          <t>MENS</t>
        </is>
      </c>
      <c r="H1935" s="0" t="inlineStr">
        <is>
          <t>S</t>
        </is>
      </c>
      <c r="I1935" s="0">
        <v>58.99</v>
      </c>
      <c r="J1935" s="0">
        <v>25</v>
      </c>
    </row>
    <row r="1936" spans="1:10" customHeight="0">
      <c r="A1936" s="0">
        <f>HYPERLINK("https://dl.dropboxusercontent.com/scl/fi/shueyeqlhij64oo2wme0h/102677-af.jpg?rlkey=utc7b48ve9bp44iswxuj9zzd4&amp;dl=0","Click to download Image")</f>
      </c>
      <c r="B1936" s="0">
        <f>HYPERLINK("https://dl.dropboxusercontent.com/scl/fi/qpr3dm7x6x3linf7l4bpc/size-charts-mens-athletic-fit-shirt-1-1.jpg?rlkey=17jibud86taj7vacghcvfd33r&amp;dl=0","Click to download SizeChart")</f>
      </c>
      <c r="C1936" s="0" t="inlineStr">
        <is>
          <t>Meyer Bike Jersey</t>
        </is>
      </c>
      <c r="D1936" s="1">
        <v>102677</v>
      </c>
      <c r="E1936" s="0" t="inlineStr">
        <is>
          <t>MEYER:102677B-M</t>
        </is>
      </c>
      <c r="F1936" s="2">
        <v>80010267702</v>
      </c>
      <c r="G1936" s="0" t="inlineStr">
        <is>
          <t>MENS</t>
        </is>
      </c>
      <c r="H1936" s="0" t="inlineStr">
        <is>
          <t>M</t>
        </is>
      </c>
      <c r="I1936" s="0">
        <v>58.99</v>
      </c>
      <c r="J1936" s="0">
        <v>23</v>
      </c>
    </row>
    <row r="1937" spans="1:10" customHeight="0">
      <c r="A1937" s="0">
        <f>HYPERLINK("https://dl.dropboxusercontent.com/scl/fi/shueyeqlhij64oo2wme0h/102677-af.jpg?rlkey=utc7b48ve9bp44iswxuj9zzd4&amp;dl=0","Click to download Image")</f>
      </c>
      <c r="B1937" s="0">
        <f>HYPERLINK("https://dl.dropboxusercontent.com/scl/fi/qpr3dm7x6x3linf7l4bpc/size-charts-mens-athletic-fit-shirt-1-1.jpg?rlkey=17jibud86taj7vacghcvfd33r&amp;dl=0","Click to download SizeChart")</f>
      </c>
      <c r="C1937" s="0" t="inlineStr">
        <is>
          <t>Meyer Bike Jersey</t>
        </is>
      </c>
      <c r="D1937" s="1">
        <v>102677</v>
      </c>
      <c r="E1937" s="0" t="inlineStr">
        <is>
          <t>MEYER:102677C-L</t>
        </is>
      </c>
      <c r="F1937" s="2">
        <v>80010267703</v>
      </c>
      <c r="G1937" s="0" t="inlineStr">
        <is>
          <t>MENS</t>
        </is>
      </c>
      <c r="H1937" s="0" t="inlineStr">
        <is>
          <t>L</t>
        </is>
      </c>
      <c r="I1937" s="0">
        <v>58.99</v>
      </c>
      <c r="J1937" s="0">
        <v>10</v>
      </c>
    </row>
    <row r="1938" spans="1:10" customHeight="0">
      <c r="A1938" s="0">
        <f>HYPERLINK("https://dl.dropboxusercontent.com/scl/fi/shueyeqlhij64oo2wme0h/102677-af.jpg?rlkey=utc7b48ve9bp44iswxuj9zzd4&amp;dl=0","Click to download Image")</f>
      </c>
      <c r="B1938" s="0">
        <f>HYPERLINK("https://dl.dropboxusercontent.com/scl/fi/qpr3dm7x6x3linf7l4bpc/size-charts-mens-athletic-fit-shirt-1-1.jpg?rlkey=17jibud86taj7vacghcvfd33r&amp;dl=0","Click to download SizeChart")</f>
      </c>
      <c r="C1938" s="0" t="inlineStr">
        <is>
          <t>Meyer Bike Jersey</t>
        </is>
      </c>
      <c r="D1938" s="1">
        <v>102677</v>
      </c>
      <c r="E1938" s="0" t="inlineStr">
        <is>
          <t>MEYER:102677D-XL</t>
        </is>
      </c>
      <c r="F1938" s="2">
        <v>80010267704</v>
      </c>
      <c r="G1938" s="0" t="inlineStr">
        <is>
          <t>MENS</t>
        </is>
      </c>
      <c r="H1938" s="0" t="inlineStr">
        <is>
          <t>XL</t>
        </is>
      </c>
      <c r="I1938" s="0">
        <v>58.99</v>
      </c>
      <c r="J1938" s="0">
        <v>19</v>
      </c>
    </row>
    <row r="1939" spans="1:10" customHeight="0">
      <c r="A1939" s="0">
        <f>HYPERLINK("https://dl.dropboxusercontent.com/scl/fi/shueyeqlhij64oo2wme0h/102677-af.jpg?rlkey=utc7b48ve9bp44iswxuj9zzd4&amp;dl=0","Click to download Image")</f>
      </c>
      <c r="B1939" s="0">
        <f>HYPERLINK("https://dl.dropboxusercontent.com/scl/fi/qpr3dm7x6x3linf7l4bpc/size-charts-mens-athletic-fit-shirt-1-1.jpg?rlkey=17jibud86taj7vacghcvfd33r&amp;dl=0","Click to download SizeChart")</f>
      </c>
      <c r="C1939" s="0" t="inlineStr">
        <is>
          <t>Meyer Bike Jersey</t>
        </is>
      </c>
      <c r="D1939" s="1">
        <v>102677</v>
      </c>
      <c r="E1939" s="0" t="inlineStr">
        <is>
          <t>MEYER:102677E-2XL</t>
        </is>
      </c>
      <c r="F1939" s="2">
        <v>80010267705</v>
      </c>
      <c r="G1939" s="0" t="inlineStr">
        <is>
          <t>MENS</t>
        </is>
      </c>
      <c r="H1939" s="0" t="inlineStr">
        <is>
          <t>2XL</t>
        </is>
      </c>
      <c r="I1939" s="0">
        <v>60.99</v>
      </c>
      <c r="J1939" s="0">
        <v>14</v>
      </c>
    </row>
    <row r="1940" spans="1:10" customHeight="0">
      <c r="A1940" s="0">
        <f>HYPERLINK("https://dl.dropboxusercontent.com/scl/fi/shueyeqlhij64oo2wme0h/102677-af.jpg?rlkey=utc7b48ve9bp44iswxuj9zzd4&amp;dl=0","Click to download Image")</f>
      </c>
      <c r="B1940" s="0">
        <f>HYPERLINK("https://dl.dropboxusercontent.com/scl/fi/qpr3dm7x6x3linf7l4bpc/size-charts-mens-athletic-fit-shirt-1-1.jpg?rlkey=17jibud86taj7vacghcvfd33r&amp;dl=0","Click to download SizeChart")</f>
      </c>
      <c r="C1940" s="0" t="inlineStr">
        <is>
          <t>Meyer Bike Jersey</t>
        </is>
      </c>
      <c r="D1940" s="1">
        <v>102677</v>
      </c>
      <c r="E1940" s="0" t="inlineStr">
        <is>
          <t>MEYER:102677F-3XL</t>
        </is>
      </c>
      <c r="F1940" s="2">
        <v>80010267706</v>
      </c>
      <c r="G1940" s="0" t="inlineStr">
        <is>
          <t>MENS</t>
        </is>
      </c>
      <c r="H1940" s="0" t="inlineStr">
        <is>
          <t>3XL</t>
        </is>
      </c>
      <c r="I1940" s="0">
        <v>60.99</v>
      </c>
      <c r="J1940" s="0">
        <v>11</v>
      </c>
    </row>
    <row r="1941" spans="1:10" customHeight="0">
      <c r="A1941" s="0">
        <f>HYPERLINK("https://dl.dropboxusercontent.com/scl/fi/uqsp38vgnuf36rblsgbdh/102683-af.jpg?rlkey=y0ibby452cjtx2rw158kwv1ln&amp;dl=0","Click to download Image")</f>
      </c>
      <c r="B1941" s="0">
        <f>HYPERLINK("https://dl.dropboxusercontent.com/scl/fi/q5plmm41hl7pbbxxfmz6r/size-charts-mens-athletic-fit-shirt-1.jpg?rlkey=oawbp991vvvibsvzbvi4z22pf&amp;dl=0","Click to download SizeChart")</f>
      </c>
      <c r="C1941" s="0" t="inlineStr">
        <is>
          <t>Lee Bike Jersey</t>
        </is>
      </c>
      <c r="D1941" s="1">
        <v>102683</v>
      </c>
      <c r="E1941" s="0" t="inlineStr">
        <is>
          <t>LEE:102683A-S</t>
        </is>
      </c>
      <c r="F1941" s="2">
        <v>80010268301</v>
      </c>
      <c r="G1941" s="0" t="inlineStr">
        <is>
          <t>MENS</t>
        </is>
      </c>
      <c r="H1941" s="0" t="inlineStr">
        <is>
          <t>S</t>
        </is>
      </c>
      <c r="I1941" s="0">
        <v>58.99</v>
      </c>
      <c r="J1941" s="0">
        <v>16</v>
      </c>
    </row>
    <row r="1942" spans="1:10" customHeight="0">
      <c r="A1942" s="0">
        <f>HYPERLINK("https://dl.dropboxusercontent.com/scl/fi/bqdi4t574n971vmcxyfye/113405af66728.jpg?rlkey=wvdx5mh7w0il9pm2fpoc443l6&amp;dl=0","Click to download Image")</f>
      </c>
      <c r="B1942" s="0">
        <f>HYPERLINK("https://dl.dropboxusercontent.com/scl/fi/wtuxpyv5mfdap5g7tx9ak/womens-jackets-size-chartstrista.jpg?rlkey=jit4krv800om5g7k529aesyi2&amp;dl=0","Click to download SizeChart")</f>
      </c>
      <c r="C1942" s="0" t="inlineStr">
        <is>
          <t>Trista Women's Puffer Jacket</t>
        </is>
      </c>
      <c r="D1942" s="1">
        <v>113403</v>
      </c>
      <c r="E1942" s="0" t="inlineStr">
        <is>
          <t>IOWA TRISTA W BLACK:113403A-S</t>
        </is>
      </c>
      <c r="F1942" s="2">
        <v>800113403046</v>
      </c>
      <c r="G1942" s="0" t="inlineStr">
        <is>
          <t>WOMENS</t>
        </is>
      </c>
      <c r="H1942" s="0" t="inlineStr">
        <is>
          <t>S</t>
        </is>
      </c>
      <c r="I1942" s="0">
        <v>99.99</v>
      </c>
      <c r="J1942" s="0">
        <v>6</v>
      </c>
    </row>
    <row r="1943" spans="1:10" customHeight="0">
      <c r="A1943" s="0">
        <f>HYPERLINK("https://dl.dropboxusercontent.com/scl/fi/bqdi4t574n971vmcxyfye/113405af66728.jpg?rlkey=wvdx5mh7w0il9pm2fpoc443l6&amp;dl=0","Click to download Image")</f>
      </c>
      <c r="B1943" s="0">
        <f>HYPERLINK("https://dl.dropboxusercontent.com/scl/fi/wtuxpyv5mfdap5g7tx9ak/womens-jackets-size-chartstrista.jpg?rlkey=jit4krv800om5g7k529aesyi2&amp;dl=0","Click to download SizeChart")</f>
      </c>
      <c r="C1943" s="0" t="inlineStr">
        <is>
          <t>Trista Women's Puffer Jacket</t>
        </is>
      </c>
      <c r="D1943" s="1">
        <v>113403</v>
      </c>
      <c r="E1943" s="0" t="inlineStr">
        <is>
          <t>IOWA TRISTA W BLACK:113403B-M</t>
        </is>
      </c>
      <c r="F1943" s="2">
        <v>800113403053</v>
      </c>
      <c r="G1943" s="0" t="inlineStr">
        <is>
          <t>WOMENS</t>
        </is>
      </c>
      <c r="H1943" s="0" t="inlineStr">
        <is>
          <t>M</t>
        </is>
      </c>
      <c r="I1943" s="0">
        <v>99.99</v>
      </c>
      <c r="J1943" s="0">
        <v>15</v>
      </c>
    </row>
    <row r="1944" spans="1:10" customHeight="0">
      <c r="A1944" s="0">
        <f>HYPERLINK("https://dl.dropboxusercontent.com/scl/fi/bqdi4t574n971vmcxyfye/113405af66728.jpg?rlkey=wvdx5mh7w0il9pm2fpoc443l6&amp;dl=0","Click to download Image")</f>
      </c>
      <c r="B1944" s="0">
        <f>HYPERLINK("https://dl.dropboxusercontent.com/scl/fi/wtuxpyv5mfdap5g7tx9ak/womens-jackets-size-chartstrista.jpg?rlkey=jit4krv800om5g7k529aesyi2&amp;dl=0","Click to download SizeChart")</f>
      </c>
      <c r="C1944" s="0" t="inlineStr">
        <is>
          <t>Trista Women's Puffer Jacket</t>
        </is>
      </c>
      <c r="D1944" s="1">
        <v>113403</v>
      </c>
      <c r="E1944" s="0" t="inlineStr">
        <is>
          <t>IOWA TRISTA W BLACK:113403C-L</t>
        </is>
      </c>
      <c r="F1944" s="2">
        <v>800113403060</v>
      </c>
      <c r="G1944" s="0" t="inlineStr">
        <is>
          <t>WOMENS</t>
        </is>
      </c>
      <c r="H1944" s="0" t="inlineStr">
        <is>
          <t>L</t>
        </is>
      </c>
      <c r="I1944" s="0">
        <v>99.99</v>
      </c>
      <c r="J1944" s="0">
        <v>15</v>
      </c>
    </row>
    <row r="1945" spans="1:10" customHeight="0">
      <c r="A1945" s="0">
        <f>HYPERLINK("https://dl.dropboxusercontent.com/scl/fi/bqdi4t574n971vmcxyfye/113405af66728.jpg?rlkey=wvdx5mh7w0il9pm2fpoc443l6&amp;dl=0","Click to download Image")</f>
      </c>
      <c r="B1945" s="0">
        <f>HYPERLINK("https://dl.dropboxusercontent.com/scl/fi/wtuxpyv5mfdap5g7tx9ak/womens-jackets-size-chartstrista.jpg?rlkey=jit4krv800om5g7k529aesyi2&amp;dl=0","Click to download SizeChart")</f>
      </c>
      <c r="C1945" s="0" t="inlineStr">
        <is>
          <t>Trista Women's Puffer Jacket</t>
        </is>
      </c>
      <c r="D1945" s="1">
        <v>113403</v>
      </c>
      <c r="E1945" s="0" t="inlineStr">
        <is>
          <t>IOWA TRISTA W BLACK:113403D-XL</t>
        </is>
      </c>
      <c r="F1945" s="2">
        <v>800113403077</v>
      </c>
      <c r="G1945" s="0" t="inlineStr">
        <is>
          <t>WOMENS</t>
        </is>
      </c>
      <c r="H1945" s="0" t="inlineStr">
        <is>
          <t>XL</t>
        </is>
      </c>
      <c r="I1945" s="0">
        <v>99.99</v>
      </c>
      <c r="J1945" s="0">
        <v>6</v>
      </c>
    </row>
    <row r="1946" spans="1:10" customHeight="0">
      <c r="A1946" s="0">
        <f>HYPERLINK("https://dl.dropboxusercontent.com/scl/fi/bqdi4t574n971vmcxyfye/113405af66728.jpg?rlkey=wvdx5mh7w0il9pm2fpoc443l6&amp;dl=0","Click to download Image")</f>
      </c>
      <c r="B1946" s="0">
        <f>HYPERLINK("https://dl.dropboxusercontent.com/scl/fi/wtuxpyv5mfdap5g7tx9ak/womens-jackets-size-chartstrista.jpg?rlkey=jit4krv800om5g7k529aesyi2&amp;dl=0","Click to download SizeChart")</f>
      </c>
      <c r="C1946" s="0" t="inlineStr">
        <is>
          <t>Trista Women's Puffer Jacket</t>
        </is>
      </c>
      <c r="D1946" s="1">
        <v>113403</v>
      </c>
      <c r="E1946" s="0" t="inlineStr">
        <is>
          <t>IOWA TRISTA W BLACK:113403E-2XL</t>
        </is>
      </c>
      <c r="F1946" s="2">
        <v>800113403084</v>
      </c>
      <c r="G1946" s="0" t="inlineStr">
        <is>
          <t>WOMENS</t>
        </is>
      </c>
      <c r="H1946" s="0" t="inlineStr">
        <is>
          <t>2XL</t>
        </is>
      </c>
      <c r="I1946" s="0">
        <v>101.99</v>
      </c>
      <c r="J1946" s="0">
        <v>4</v>
      </c>
    </row>
    <row r="1947" spans="1:10" customHeight="0">
      <c r="A1947" s="0">
        <f>HYPERLINK("https://dl.dropboxusercontent.com/scl/fi/bqdi4t574n971vmcxyfye/113405af66728.jpg?rlkey=wvdx5mh7w0il9pm2fpoc443l6&amp;dl=0","Click to download Image")</f>
      </c>
      <c r="B1947" s="0">
        <f>HYPERLINK("https://dl.dropboxusercontent.com/scl/fi/wtuxpyv5mfdap5g7tx9ak/womens-jackets-size-chartstrista.jpg?rlkey=jit4krv800om5g7k529aesyi2&amp;dl=0","Click to download SizeChart")</f>
      </c>
      <c r="C1947" s="0" t="inlineStr">
        <is>
          <t>Trista Women's Puffer Jacket</t>
        </is>
      </c>
      <c r="D1947" s="1">
        <v>113403</v>
      </c>
      <c r="E1947" s="0" t="inlineStr">
        <is>
          <t>IOWA TRISTA W BLACK:113403F-3XL</t>
        </is>
      </c>
      <c r="F1947" s="2">
        <v>800113403091</v>
      </c>
      <c r="G1947" s="0" t="inlineStr">
        <is>
          <t>WOMENS</t>
        </is>
      </c>
      <c r="H1947" s="0" t="inlineStr">
        <is>
          <t>3XL</t>
        </is>
      </c>
      <c r="I1947" s="0">
        <v>101.99</v>
      </c>
      <c r="J1947" s="0">
        <v>4</v>
      </c>
    </row>
    <row r="1948" spans="1:10" customHeight="0">
      <c r="A1948" s="0">
        <f>HYPERLINK("https://dl.dropboxusercontent.com/scl/fi/bqdi4t574n971vmcxyfye/113405af66728.jpg?rlkey=wvdx5mh7w0il9pm2fpoc443l6&amp;dl=0","Click to download Image")</f>
      </c>
      <c r="B1948" s="0">
        <f>HYPERLINK("https://dl.dropboxusercontent.com/scl/fi/wtuxpyv5mfdap5g7tx9ak/womens-jackets-size-chartstrista.jpg?rlkey=jit4krv800om5g7k529aesyi2&amp;dl=0","Click to download SizeChart")</f>
      </c>
      <c r="C1948" s="0" t="inlineStr">
        <is>
          <t>Trista Women's Puffer Jacket</t>
        </is>
      </c>
      <c r="D1948" s="1">
        <v>113403</v>
      </c>
      <c r="E1948" s="0" t="inlineStr">
        <is>
          <t>IOWA TRISTA W BLACK 12 PACK:113403Z-12PK</t>
        </is>
      </c>
      <c r="F1948" s="2">
        <v>800113403992</v>
      </c>
      <c r="G1948" s="0" t="inlineStr">
        <is>
          <t>WOMENS</t>
        </is>
      </c>
      <c r="H1948" s="0" t="inlineStr">
        <is>
          <t>12 PACK</t>
        </is>
      </c>
      <c r="I1948" s="0">
        <v>960</v>
      </c>
      <c r="J1948" s="0">
        <v>0</v>
      </c>
    </row>
    <row r="1949" spans="1:10" customHeight="0">
      <c r="A1949" s="0">
        <f>HYPERLINK("https://dl.dropboxusercontent.com/scl/fi/gra4lysyum5ycptwfkwql/113274-af-1.jpg?rlkey=c7puyvlkv7v67fy1jdw9mmayu&amp;dl=0","Click to download Image")</f>
      </c>
      <c r="B1949" s="0">
        <f>HYPERLINK("https://dl.dropboxusercontent.com/scl/fi/u244xlhzhorg64z89cs1c/womens-size-chartsveronica.jpg?rlkey=b4t87mt98h9mt2xqqnvr2hghl&amp;dl=0","Click to download SizeChart")</f>
      </c>
      <c r="C1949" s="0" t="inlineStr">
        <is>
          <t>Veronica Women's Canvas Jacket</t>
        </is>
      </c>
      <c r="D1949" s="1">
        <v>113274</v>
      </c>
      <c r="E1949" s="0" t="inlineStr">
        <is>
          <t>IOWA VERONICA GOLD:113274A-S</t>
        </is>
      </c>
      <c r="F1949" s="2">
        <v>800113274042</v>
      </c>
      <c r="G1949" s="0" t="inlineStr">
        <is>
          <t>WOMENS</t>
        </is>
      </c>
      <c r="H1949" s="0" t="inlineStr">
        <is>
          <t>S</t>
        </is>
      </c>
      <c r="I1949" s="0">
        <v>59.99</v>
      </c>
      <c r="J1949" s="0">
        <v>3</v>
      </c>
    </row>
    <row r="1950" spans="1:10" customHeight="0">
      <c r="A1950" s="0">
        <f>HYPERLINK("https://dl.dropboxusercontent.com/scl/fi/gra4lysyum5ycptwfkwql/113274-af-1.jpg?rlkey=c7puyvlkv7v67fy1jdw9mmayu&amp;dl=0","Click to download Image")</f>
      </c>
      <c r="B1950" s="0">
        <f>HYPERLINK("https://dl.dropboxusercontent.com/scl/fi/u244xlhzhorg64z89cs1c/womens-size-chartsveronica.jpg?rlkey=b4t87mt98h9mt2xqqnvr2hghl&amp;dl=0","Click to download SizeChart")</f>
      </c>
      <c r="C1950" s="0" t="inlineStr">
        <is>
          <t>Veronica Women's Canvas Jacket</t>
        </is>
      </c>
      <c r="D1950" s="1">
        <v>113274</v>
      </c>
      <c r="E1950" s="0" t="inlineStr">
        <is>
          <t>IOWA VERONICA GOLD:113274B-M</t>
        </is>
      </c>
      <c r="F1950" s="2">
        <v>800113274059</v>
      </c>
      <c r="G1950" s="0" t="inlineStr">
        <is>
          <t>WOMENS</t>
        </is>
      </c>
      <c r="H1950" s="0" t="inlineStr">
        <is>
          <t>M</t>
        </is>
      </c>
      <c r="I1950" s="0">
        <v>59.99</v>
      </c>
      <c r="J1950" s="0">
        <v>24</v>
      </c>
    </row>
    <row r="1951" spans="1:10" customHeight="0">
      <c r="A1951" s="0">
        <f>HYPERLINK("https://dl.dropboxusercontent.com/scl/fi/gra4lysyum5ycptwfkwql/113274-af-1.jpg?rlkey=c7puyvlkv7v67fy1jdw9mmayu&amp;dl=0","Click to download Image")</f>
      </c>
      <c r="B1951" s="0">
        <f>HYPERLINK("https://dl.dropboxusercontent.com/scl/fi/u244xlhzhorg64z89cs1c/womens-size-chartsveronica.jpg?rlkey=b4t87mt98h9mt2xqqnvr2hghl&amp;dl=0","Click to download SizeChart")</f>
      </c>
      <c r="C1951" s="0" t="inlineStr">
        <is>
          <t>Veronica Women's Canvas Jacket</t>
        </is>
      </c>
      <c r="D1951" s="1">
        <v>113274</v>
      </c>
      <c r="E1951" s="0" t="inlineStr">
        <is>
          <t>IOWA VERONICA GOLD:113274C-L</t>
        </is>
      </c>
      <c r="F1951" s="2">
        <v>800113274066</v>
      </c>
      <c r="G1951" s="0" t="inlineStr">
        <is>
          <t>WOMENS</t>
        </is>
      </c>
      <c r="H1951" s="0" t="inlineStr">
        <is>
          <t>L</t>
        </is>
      </c>
      <c r="I1951" s="0">
        <v>59.99</v>
      </c>
      <c r="J1951" s="0">
        <v>24</v>
      </c>
    </row>
    <row r="1952" spans="1:10" customHeight="0">
      <c r="A1952" s="0">
        <f>HYPERLINK("https://dl.dropboxusercontent.com/scl/fi/gra4lysyum5ycptwfkwql/113274-af-1.jpg?rlkey=c7puyvlkv7v67fy1jdw9mmayu&amp;dl=0","Click to download Image")</f>
      </c>
      <c r="B1952" s="0">
        <f>HYPERLINK("https://dl.dropboxusercontent.com/scl/fi/u244xlhzhorg64z89cs1c/womens-size-chartsveronica.jpg?rlkey=b4t87mt98h9mt2xqqnvr2hghl&amp;dl=0","Click to download SizeChart")</f>
      </c>
      <c r="C1952" s="0" t="inlineStr">
        <is>
          <t>Veronica Women's Canvas Jacket</t>
        </is>
      </c>
      <c r="D1952" s="1">
        <v>113274</v>
      </c>
      <c r="E1952" s="0" t="inlineStr">
        <is>
          <t>IOWA VERONICA GOLD:113274D-XL</t>
        </is>
      </c>
      <c r="F1952" s="2">
        <v>800113274073</v>
      </c>
      <c r="G1952" s="0" t="inlineStr">
        <is>
          <t>WOMENS</t>
        </is>
      </c>
      <c r="H1952" s="0" t="inlineStr">
        <is>
          <t>XL</t>
        </is>
      </c>
      <c r="I1952" s="0">
        <v>59.99</v>
      </c>
      <c r="J1952" s="0">
        <v>4</v>
      </c>
    </row>
    <row r="1953" spans="1:10" customHeight="0">
      <c r="A1953" s="0">
        <f>HYPERLINK("https://dl.dropboxusercontent.com/scl/fi/gra4lysyum5ycptwfkwql/113274-af-1.jpg?rlkey=c7puyvlkv7v67fy1jdw9mmayu&amp;dl=0","Click to download Image")</f>
      </c>
      <c r="B1953" s="0">
        <f>HYPERLINK("https://dl.dropboxusercontent.com/scl/fi/u244xlhzhorg64z89cs1c/womens-size-chartsveronica.jpg?rlkey=b4t87mt98h9mt2xqqnvr2hghl&amp;dl=0","Click to download SizeChart")</f>
      </c>
      <c r="C1953" s="0" t="inlineStr">
        <is>
          <t>Veronica Women's Canvas Jacket</t>
        </is>
      </c>
      <c r="D1953" s="1">
        <v>113274</v>
      </c>
      <c r="E1953" s="0" t="inlineStr">
        <is>
          <t>IOWA VERONICA GOLD:113274E-2XL</t>
        </is>
      </c>
      <c r="F1953" s="2">
        <v>800113274080</v>
      </c>
      <c r="G1953" s="0" t="inlineStr">
        <is>
          <t>WOMENS</t>
        </is>
      </c>
      <c r="H1953" s="0" t="inlineStr">
        <is>
          <t>2XL</t>
        </is>
      </c>
      <c r="I1953" s="0">
        <v>61.99</v>
      </c>
      <c r="J1953" s="0">
        <v>3</v>
      </c>
    </row>
    <row r="1954" spans="1:10" customHeight="0">
      <c r="A1954" s="0">
        <f>HYPERLINK("https://dl.dropboxusercontent.com/scl/fi/gra4lysyum5ycptwfkwql/113274-af-1.jpg?rlkey=c7puyvlkv7v67fy1jdw9mmayu&amp;dl=0","Click to download Image")</f>
      </c>
      <c r="B1954" s="0">
        <f>HYPERLINK("https://dl.dropboxusercontent.com/scl/fi/u244xlhzhorg64z89cs1c/womens-size-chartsveronica.jpg?rlkey=b4t87mt98h9mt2xqqnvr2hghl&amp;dl=0","Click to download SizeChart")</f>
      </c>
      <c r="C1954" s="0" t="inlineStr">
        <is>
          <t>Veronica Women's Canvas Jacket</t>
        </is>
      </c>
      <c r="D1954" s="1">
        <v>113274</v>
      </c>
      <c r="E1954" s="0" t="inlineStr">
        <is>
          <t>IOWA VERONICA GOLD:113274F-3XL</t>
        </is>
      </c>
      <c r="F1954" s="2">
        <v>800113274097</v>
      </c>
      <c r="G1954" s="0" t="inlineStr">
        <is>
          <t>WOMENS</t>
        </is>
      </c>
      <c r="H1954" s="0" t="inlineStr">
        <is>
          <t>3XL</t>
        </is>
      </c>
      <c r="I1954" s="0">
        <v>61.99</v>
      </c>
      <c r="J1954" s="0">
        <v>0</v>
      </c>
    </row>
    <row r="1955" spans="1:10" customHeight="0">
      <c r="A1955" s="0">
        <f>HYPERLINK("https://dl.dropboxusercontent.com/scl/fi/gra4lysyum5ycptwfkwql/113274-af-1.jpg?rlkey=c7puyvlkv7v67fy1jdw9mmayu&amp;dl=0","Click to download Image")</f>
      </c>
      <c r="B1955" s="0">
        <f>HYPERLINK("https://dl.dropboxusercontent.com/scl/fi/u244xlhzhorg64z89cs1c/womens-size-chartsveronica.jpg?rlkey=b4t87mt98h9mt2xqqnvr2hghl&amp;dl=0","Click to download SizeChart")</f>
      </c>
      <c r="C1955" s="0" t="inlineStr">
        <is>
          <t>Veronica Women's Canvas Jacket</t>
        </is>
      </c>
      <c r="D1955" s="1">
        <v>113274</v>
      </c>
      <c r="E1955" s="0" t="inlineStr">
        <is>
          <t>IOWA VERONICA GOLD 12 PACK:113274Z-12PK</t>
        </is>
      </c>
      <c r="F1955" s="2">
        <v>800113274998</v>
      </c>
      <c r="G1955" s="0" t="inlineStr">
        <is>
          <t>WOMENS</t>
        </is>
      </c>
      <c r="H1955" s="0" t="inlineStr">
        <is>
          <t>12 PACK</t>
        </is>
      </c>
      <c r="I1955" s="0">
        <v>580</v>
      </c>
      <c r="J1955" s="0">
        <v>0</v>
      </c>
    </row>
    <row r="1956" spans="1:10" customHeight="0">
      <c r="A1956" s="0">
        <f>HYPERLINK("https://dl.dropboxusercontent.com/scl/fi/m6akcl1zt52b6ri3x8oaq/113135-af.jpg?rlkey=s7mwknnmaykje02n3cn5brfw5&amp;dl=0","Click to download Image")</f>
      </c>
      <c r="C1956" s="0" t="inlineStr">
        <is>
          <t>Violette Infant Beanie</t>
        </is>
      </c>
      <c r="D1956" s="1">
        <v>113135</v>
      </c>
      <c r="E1956" s="0" t="inlineStr">
        <is>
          <t>IOWA VIOLETTE:113135</t>
        </is>
      </c>
      <c r="F1956" s="2">
        <v>700113135018</v>
      </c>
      <c r="G1956" s="0" t="inlineStr">
        <is>
          <t>INFANT</t>
        </is>
      </c>
      <c r="H1956" s="0" t="inlineStr">
        <is>
          <t>INFANT</t>
        </is>
      </c>
      <c r="I1956" s="0">
        <v>19.99</v>
      </c>
      <c r="J1956" s="0">
        <v>98</v>
      </c>
    </row>
    <row r="1957" spans="1:10" customHeight="0">
      <c r="A1957" s="0">
        <f>HYPERLINK("https://dl.dropboxusercontent.com/scl/fi/gi0fufb1ga10x0c7r1rvl/113342-af.jpg?rlkey=zpuogtp5koxb7w8c56cyqxqls&amp;dl=0","Click to download Image")</f>
      </c>
      <c r="B1957" s="0">
        <f>HYPERLINK("https://dl.dropboxusercontent.com/scl/fi/31wnsxbucqcl42y5z1h4u/graphic-update22022-toddler.jpg?rlkey=bex3iqw4ziwnqka5kfrkwwmwk&amp;dl=0","Click to download SizeChart")</f>
      </c>
      <c r="C1957" s="0" t="inlineStr">
        <is>
          <t>Opal Toddler Girl's Shirt</t>
        </is>
      </c>
      <c r="D1957" s="1">
        <v>114868</v>
      </c>
      <c r="E1957" s="0" t="inlineStr">
        <is>
          <t>IOWA OPAL T BLACK:114868A-2T</t>
        </is>
      </c>
      <c r="F1957" s="2">
        <v>800114868080</v>
      </c>
      <c r="G1957" s="0" t="inlineStr">
        <is>
          <t>TODDLER</t>
        </is>
      </c>
      <c r="H1957" s="0" t="inlineStr">
        <is>
          <t>2T</t>
        </is>
      </c>
      <c r="I1957" s="0">
        <v>29.99</v>
      </c>
      <c r="J1957" s="0">
        <v>0</v>
      </c>
    </row>
    <row r="1958" spans="1:10" customHeight="0">
      <c r="A1958" s="0">
        <f>HYPERLINK("https://dl.dropboxusercontent.com/scl/fi/gi0fufb1ga10x0c7r1rvl/113342-af.jpg?rlkey=zpuogtp5koxb7w8c56cyqxqls&amp;dl=0","Click to download Image")</f>
      </c>
      <c r="B1958" s="0">
        <f>HYPERLINK("https://dl.dropboxusercontent.com/scl/fi/31wnsxbucqcl42y5z1h4u/graphic-update22022-toddler.jpg?rlkey=bex3iqw4ziwnqka5kfrkwwmwk&amp;dl=0","Click to download SizeChart")</f>
      </c>
      <c r="C1958" s="0" t="inlineStr">
        <is>
          <t>Opal Toddler Girl's Shirt</t>
        </is>
      </c>
      <c r="D1958" s="1">
        <v>114868</v>
      </c>
      <c r="E1958" s="0" t="inlineStr">
        <is>
          <t>IOWA OPAL T BLACK:114868B-3T</t>
        </is>
      </c>
      <c r="F1958" s="2">
        <v>800114868097</v>
      </c>
      <c r="G1958" s="0" t="inlineStr">
        <is>
          <t>TODDLER</t>
        </is>
      </c>
      <c r="H1958" s="0" t="inlineStr">
        <is>
          <t>3T</t>
        </is>
      </c>
      <c r="I1958" s="0">
        <v>29.99</v>
      </c>
      <c r="J1958" s="0">
        <v>0</v>
      </c>
    </row>
    <row r="1959" spans="1:10" customHeight="0">
      <c r="A1959" s="0">
        <f>HYPERLINK("https://dl.dropboxusercontent.com/scl/fi/gi0fufb1ga10x0c7r1rvl/113342-af.jpg?rlkey=zpuogtp5koxb7w8c56cyqxqls&amp;dl=0","Click to download Image")</f>
      </c>
      <c r="B1959" s="0">
        <f>HYPERLINK("https://dl.dropboxusercontent.com/scl/fi/31wnsxbucqcl42y5z1h4u/graphic-update22022-toddler.jpg?rlkey=bex3iqw4ziwnqka5kfrkwwmwk&amp;dl=0","Click to download SizeChart")</f>
      </c>
      <c r="C1959" s="0" t="inlineStr">
        <is>
          <t>Opal Toddler Girl's Shirt</t>
        </is>
      </c>
      <c r="D1959" s="1">
        <v>114868</v>
      </c>
      <c r="E1959" s="0" t="inlineStr">
        <is>
          <t>IOWA OPAL T BLACK:114868C-4T</t>
        </is>
      </c>
      <c r="F1959" s="2">
        <v>800114868103</v>
      </c>
      <c r="G1959" s="0" t="inlineStr">
        <is>
          <t>TODDLER</t>
        </is>
      </c>
      <c r="H1959" s="0" t="inlineStr">
        <is>
          <t>4T</t>
        </is>
      </c>
      <c r="I1959" s="0">
        <v>29.99</v>
      </c>
      <c r="J1959" s="0">
        <v>0</v>
      </c>
    </row>
    <row r="1960" spans="1:10" customHeight="0">
      <c r="A1960" s="0">
        <f>HYPERLINK("https://dl.dropboxusercontent.com/scl/fi/gi0fufb1ga10x0c7r1rvl/113342-af.jpg?rlkey=zpuogtp5koxb7w8c56cyqxqls&amp;dl=0","Click to download Image")</f>
      </c>
      <c r="B1960" s="0">
        <f>HYPERLINK("https://dl.dropboxusercontent.com/scl/fi/31wnsxbucqcl42y5z1h4u/graphic-update22022-toddler.jpg?rlkey=bex3iqw4ziwnqka5kfrkwwmwk&amp;dl=0","Click to download SizeChart")</f>
      </c>
      <c r="C1960" s="0" t="inlineStr">
        <is>
          <t>Opal Toddler Girl's Shirt</t>
        </is>
      </c>
      <c r="D1960" s="1">
        <v>114868</v>
      </c>
      <c r="E1960" s="0" t="inlineStr">
        <is>
          <t>IOWA OPAL T BLACK:114868D-5T</t>
        </is>
      </c>
      <c r="F1960" s="2">
        <v>800114868110</v>
      </c>
      <c r="G1960" s="0" t="inlineStr">
        <is>
          <t>TODDLER</t>
        </is>
      </c>
      <c r="H1960" s="0" t="inlineStr">
        <is>
          <t>5T</t>
        </is>
      </c>
      <c r="I1960" s="0">
        <v>29.99</v>
      </c>
      <c r="J1960" s="0">
        <v>3</v>
      </c>
    </row>
    <row r="1961" spans="1:10" customHeight="0">
      <c r="A1961" s="0">
        <f>HYPERLINK("https://dl.dropboxusercontent.com/scl/fi/gi0fufb1ga10x0c7r1rvl/113342-af.jpg?rlkey=zpuogtp5koxb7w8c56cyqxqls&amp;dl=0","Click to download Image")</f>
      </c>
      <c r="B1961" s="0">
        <f>HYPERLINK("https://dl.dropboxusercontent.com/scl/fi/31wnsxbucqcl42y5z1h4u/graphic-update22022-toddler.jpg?rlkey=bex3iqw4ziwnqka5kfrkwwmwk&amp;dl=0","Click to download SizeChart")</f>
      </c>
      <c r="C1961" s="0" t="inlineStr">
        <is>
          <t>Opal Toddler Girl's Shirt</t>
        </is>
      </c>
      <c r="D1961" s="1">
        <v>114868</v>
      </c>
      <c r="E1961" s="0" t="inlineStr">
        <is>
          <t>IOWA OPAL T BLACK 12 PACK:114868Z-12PK</t>
        </is>
      </c>
      <c r="F1961" s="2">
        <v>800114868998</v>
      </c>
      <c r="G1961" s="0" t="inlineStr">
        <is>
          <t>TODDLER</t>
        </is>
      </c>
      <c r="H1961" s="0" t="inlineStr">
        <is>
          <t>12 PACK</t>
        </is>
      </c>
      <c r="I1961" s="0">
        <v>288</v>
      </c>
      <c r="J1961" s="0">
        <v>0</v>
      </c>
    </row>
    <row r="1962" spans="1:10" customHeight="0">
      <c r="A1962" s="0">
        <f>HYPERLINK("https://dl.dropboxusercontent.com/scl/fi/8pbq7cspja0k6z4v813kc/109658-black-af.jpg?rlkey=orazqr502mi00iedpuex8orq3&amp;dl=0","Click to download Image")</f>
      </c>
      <c r="B1962" s="0">
        <f>HYPERLINK("https://dl.dropboxusercontent.com/scl/fi/wyis6ha6yyac4ilz9jed1/graphic-update22022-toddler.jpg?rlkey=go4jlt83qtsk9umkmi4nz2a8a&amp;dl=0","Click to download SizeChart")</f>
      </c>
      <c r="C1962" s="0" t="inlineStr">
        <is>
          <t>Columbia Toddler Sweatshirt</t>
        </is>
      </c>
      <c r="D1962" s="1">
        <v>123985</v>
      </c>
      <c r="E1962" s="0" t="inlineStr">
        <is>
          <t>IOWA COLUMB T ALT:123985A-2T</t>
        </is>
      </c>
      <c r="F1962" s="2">
        <v>800123985082</v>
      </c>
      <c r="G1962" s="0" t="inlineStr">
        <is>
          <t>TODDLER</t>
        </is>
      </c>
      <c r="H1962" s="0" t="inlineStr">
        <is>
          <t>2T</t>
        </is>
      </c>
      <c r="I1962" s="0">
        <v>39.99</v>
      </c>
      <c r="J1962" s="0">
        <v>13</v>
      </c>
    </row>
    <row r="1963" spans="1:10" customHeight="0">
      <c r="A1963" s="0">
        <f>HYPERLINK("https://dl.dropboxusercontent.com/scl/fi/8pbq7cspja0k6z4v813kc/109658-black-af.jpg?rlkey=orazqr502mi00iedpuex8orq3&amp;dl=0","Click to download Image")</f>
      </c>
      <c r="B1963" s="0">
        <f>HYPERLINK("https://dl.dropboxusercontent.com/scl/fi/wyis6ha6yyac4ilz9jed1/graphic-update22022-toddler.jpg?rlkey=go4jlt83qtsk9umkmi4nz2a8a&amp;dl=0","Click to download SizeChart")</f>
      </c>
      <c r="C1963" s="0" t="inlineStr">
        <is>
          <t>Columbia Toddler Sweatshirt</t>
        </is>
      </c>
      <c r="D1963" s="1">
        <v>123985</v>
      </c>
      <c r="E1963" s="0" t="inlineStr">
        <is>
          <t>IOWA COLUMB T ALT:123985B-3T</t>
        </is>
      </c>
      <c r="F1963" s="2">
        <v>800123985099</v>
      </c>
      <c r="G1963" s="0" t="inlineStr">
        <is>
          <t>TODDLER</t>
        </is>
      </c>
      <c r="H1963" s="0" t="inlineStr">
        <is>
          <t>3T</t>
        </is>
      </c>
      <c r="I1963" s="0">
        <v>39.99</v>
      </c>
      <c r="J1963" s="0">
        <v>11</v>
      </c>
    </row>
    <row r="1964" spans="1:10" customHeight="0">
      <c r="A1964" s="0">
        <f>HYPERLINK("https://dl.dropboxusercontent.com/scl/fi/8pbq7cspja0k6z4v813kc/109658-black-af.jpg?rlkey=orazqr502mi00iedpuex8orq3&amp;dl=0","Click to download Image")</f>
      </c>
      <c r="B1964" s="0">
        <f>HYPERLINK("https://dl.dropboxusercontent.com/scl/fi/wyis6ha6yyac4ilz9jed1/graphic-update22022-toddler.jpg?rlkey=go4jlt83qtsk9umkmi4nz2a8a&amp;dl=0","Click to download SizeChart")</f>
      </c>
      <c r="C1964" s="0" t="inlineStr">
        <is>
          <t>Columbia Toddler Sweatshirt</t>
        </is>
      </c>
      <c r="D1964" s="1">
        <v>123985</v>
      </c>
      <c r="E1964" s="0" t="inlineStr">
        <is>
          <t>IOWA COLUMB T ALT:123985C-4T</t>
        </is>
      </c>
      <c r="F1964" s="2">
        <v>800123985105</v>
      </c>
      <c r="G1964" s="0" t="inlineStr">
        <is>
          <t>TODDLER</t>
        </is>
      </c>
      <c r="H1964" s="0" t="inlineStr">
        <is>
          <t>4T</t>
        </is>
      </c>
      <c r="I1964" s="0">
        <v>39.99</v>
      </c>
      <c r="J1964" s="0">
        <v>11</v>
      </c>
    </row>
    <row r="1965" spans="1:10" customHeight="0">
      <c r="A1965" s="0">
        <f>HYPERLINK("https://dl.dropboxusercontent.com/scl/fi/8pbq7cspja0k6z4v813kc/109658-black-af.jpg?rlkey=orazqr502mi00iedpuex8orq3&amp;dl=0","Click to download Image")</f>
      </c>
      <c r="B1965" s="0">
        <f>HYPERLINK("https://dl.dropboxusercontent.com/scl/fi/wyis6ha6yyac4ilz9jed1/graphic-update22022-toddler.jpg?rlkey=go4jlt83qtsk9umkmi4nz2a8a&amp;dl=0","Click to download SizeChart")</f>
      </c>
      <c r="C1965" s="0" t="inlineStr">
        <is>
          <t>Columbia Toddler Sweatshirt</t>
        </is>
      </c>
      <c r="D1965" s="1">
        <v>123985</v>
      </c>
      <c r="E1965" s="0" t="inlineStr">
        <is>
          <t>IOWA COLUMB T ALT:123985D-5T</t>
        </is>
      </c>
      <c r="F1965" s="2">
        <v>800123985112</v>
      </c>
      <c r="G1965" s="0" t="inlineStr">
        <is>
          <t>TODDLER</t>
        </is>
      </c>
      <c r="H1965" s="0" t="inlineStr">
        <is>
          <t>5T</t>
        </is>
      </c>
      <c r="I1965" s="0">
        <v>39.99</v>
      </c>
      <c r="J1965" s="0">
        <v>11</v>
      </c>
    </row>
    <row r="1966" spans="1:10" customHeight="0">
      <c r="A1966" s="0">
        <f>HYPERLINK("https://dl.dropboxusercontent.com/scl/fi/8pbq7cspja0k6z4v813kc/109658-black-af.jpg?rlkey=orazqr502mi00iedpuex8orq3&amp;dl=0","Click to download Image")</f>
      </c>
      <c r="B1966" s="0">
        <f>HYPERLINK("https://dl.dropboxusercontent.com/scl/fi/wyis6ha6yyac4ilz9jed1/graphic-update22022-toddler.jpg?rlkey=go4jlt83qtsk9umkmi4nz2a8a&amp;dl=0","Click to download SizeChart")</f>
      </c>
      <c r="C1966" s="0" t="inlineStr">
        <is>
          <t>Columbia Toddler Sweatshirt</t>
        </is>
      </c>
      <c r="D1966" s="1">
        <v>123985</v>
      </c>
      <c r="E1966" s="0" t="inlineStr">
        <is>
          <t>IOWA COLUMB T ALT 12PK:123985Z-12PK</t>
        </is>
      </c>
      <c r="F1966" s="2">
        <v>800123985990</v>
      </c>
      <c r="G1966" s="0" t="inlineStr">
        <is>
          <t>TODDLER</t>
        </is>
      </c>
      <c r="H1966" s="0" t="inlineStr">
        <is>
          <t>12 PACK</t>
        </is>
      </c>
      <c r="I1966" s="0">
        <v>390</v>
      </c>
      <c r="J1966" s="0">
        <v>0</v>
      </c>
    </row>
    <row r="1967" spans="1:10" customHeight="0">
      <c r="A1967" s="0">
        <f>HYPERLINK("https://dl.dropboxusercontent.com/scl/fi/0b0yg7c6nts7kvp6fgeyp/123965-af.png?rlkey=azi7mf4k24z72zfn4yqp08yre&amp;dl=0","Click to download Image")</f>
      </c>
      <c r="B1967" s="0">
        <f>HYPERLINK("https://dl.dropboxusercontent.com/scl/fi/7a80etxmbtwccz1mddheo/graphic-update22022-youth.jpg?rlkey=0kjwvvn0a1ntoy6fnm532mrur&amp;dl=0","Click to download SizeChart")</f>
      </c>
      <c r="C1967" s="0" t="inlineStr">
        <is>
          <t>Columbia Youth Sweatshirt</t>
        </is>
      </c>
      <c r="D1967" s="1">
        <v>123965</v>
      </c>
      <c r="E1967" s="0" t="inlineStr">
        <is>
          <t>IOWA COLUMB Y ALT:123965B-YS</t>
        </is>
      </c>
      <c r="F1967" s="2">
        <v>800123965015</v>
      </c>
      <c r="G1967" s="0" t="inlineStr">
        <is>
          <t>YOUTH</t>
        </is>
      </c>
      <c r="H1967" s="0" t="inlineStr">
        <is>
          <t>YS</t>
        </is>
      </c>
      <c r="I1967" s="0">
        <v>39.99</v>
      </c>
      <c r="J1967" s="0">
        <v>2</v>
      </c>
    </row>
    <row r="1968" spans="1:10" customHeight="0">
      <c r="A1968" s="0">
        <f>HYPERLINK("https://dl.dropboxusercontent.com/scl/fi/0b0yg7c6nts7kvp6fgeyp/123965-af.png?rlkey=azi7mf4k24z72zfn4yqp08yre&amp;dl=0","Click to download Image")</f>
      </c>
      <c r="B1968" s="0">
        <f>HYPERLINK("https://dl.dropboxusercontent.com/scl/fi/7a80etxmbtwccz1mddheo/graphic-update22022-youth.jpg?rlkey=0kjwvvn0a1ntoy6fnm532mrur&amp;dl=0","Click to download SizeChart")</f>
      </c>
      <c r="C1968" s="0" t="inlineStr">
        <is>
          <t>Columbia Youth Sweatshirt</t>
        </is>
      </c>
      <c r="D1968" s="1">
        <v>123965</v>
      </c>
      <c r="E1968" s="0" t="inlineStr">
        <is>
          <t>IOWA COLUMB Y ALT:123965C-YM</t>
        </is>
      </c>
      <c r="F1968" s="2">
        <v>800123965022</v>
      </c>
      <c r="G1968" s="0" t="inlineStr">
        <is>
          <t>YOUTH</t>
        </is>
      </c>
      <c r="H1968" s="0" t="inlineStr">
        <is>
          <t>YM</t>
        </is>
      </c>
      <c r="I1968" s="0">
        <v>39.99</v>
      </c>
      <c r="J1968" s="0">
        <v>1</v>
      </c>
    </row>
    <row r="1969" spans="1:10" customHeight="0">
      <c r="A1969" s="0">
        <f>HYPERLINK("https://dl.dropboxusercontent.com/scl/fi/0b0yg7c6nts7kvp6fgeyp/123965-af.png?rlkey=azi7mf4k24z72zfn4yqp08yre&amp;dl=0","Click to download Image")</f>
      </c>
      <c r="B1969" s="0">
        <f>HYPERLINK("https://dl.dropboxusercontent.com/scl/fi/7a80etxmbtwccz1mddheo/graphic-update22022-youth.jpg?rlkey=0kjwvvn0a1ntoy6fnm532mrur&amp;dl=0","Click to download SizeChart")</f>
      </c>
      <c r="C1969" s="0" t="inlineStr">
        <is>
          <t>Columbia Youth Sweatshirt</t>
        </is>
      </c>
      <c r="D1969" s="1">
        <v>123965</v>
      </c>
      <c r="E1969" s="0" t="inlineStr">
        <is>
          <t>IOWA COLUMB Y ALT:123965D-YL</t>
        </is>
      </c>
      <c r="F1969" s="2">
        <v>800123965039</v>
      </c>
      <c r="G1969" s="0" t="inlineStr">
        <is>
          <t>YOUTH</t>
        </is>
      </c>
      <c r="H1969" s="0" t="inlineStr">
        <is>
          <t>YL</t>
        </is>
      </c>
      <c r="I1969" s="0">
        <v>39.99</v>
      </c>
      <c r="J1969" s="0">
        <v>1</v>
      </c>
    </row>
    <row r="1970" spans="1:10" customHeight="0">
      <c r="A1970" s="0">
        <f>HYPERLINK("https://dl.dropboxusercontent.com/scl/fi/0b0yg7c6nts7kvp6fgeyp/123965-af.png?rlkey=azi7mf4k24z72zfn4yqp08yre&amp;dl=0","Click to download Image")</f>
      </c>
      <c r="B1970" s="0">
        <f>HYPERLINK("https://dl.dropboxusercontent.com/scl/fi/7a80etxmbtwccz1mddheo/graphic-update22022-youth.jpg?rlkey=0kjwvvn0a1ntoy6fnm532mrur&amp;dl=0","Click to download SizeChart")</f>
      </c>
      <c r="C1970" s="0" t="inlineStr">
        <is>
          <t>Columbia Youth Sweatshirt</t>
        </is>
      </c>
      <c r="D1970" s="1">
        <v>123965</v>
      </c>
      <c r="E1970" s="0" t="inlineStr">
        <is>
          <t>IOWA COLUMB Y ALT:123965E-YXL</t>
        </is>
      </c>
      <c r="F1970" s="2">
        <v>800123965046</v>
      </c>
      <c r="G1970" s="0" t="inlineStr">
        <is>
          <t>YOUTH</t>
        </is>
      </c>
      <c r="H1970" s="0" t="inlineStr">
        <is>
          <t>YXL</t>
        </is>
      </c>
      <c r="I1970" s="0">
        <v>39.99</v>
      </c>
      <c r="J1970" s="0">
        <v>2</v>
      </c>
    </row>
    <row r="1971" spans="1:10" customHeight="0">
      <c r="A1971" s="0">
        <f>HYPERLINK("https://dl.dropboxusercontent.com/scl/fi/0b0yg7c6nts7kvp6fgeyp/123965-af.png?rlkey=azi7mf4k24z72zfn4yqp08yre&amp;dl=0","Click to download Image")</f>
      </c>
      <c r="B1971" s="0">
        <f>HYPERLINK("https://dl.dropboxusercontent.com/scl/fi/7a80etxmbtwccz1mddheo/graphic-update22022-youth.jpg?rlkey=0kjwvvn0a1ntoy6fnm532mrur&amp;dl=0","Click to download SizeChart")</f>
      </c>
      <c r="C1971" s="0" t="inlineStr">
        <is>
          <t>Columbia Youth Sweatshirt</t>
        </is>
      </c>
      <c r="D1971" s="1">
        <v>123965</v>
      </c>
      <c r="E1971" s="0" t="inlineStr">
        <is>
          <t>IOWA COLUMB Y ALT 12PK:123965Z-12PK</t>
        </is>
      </c>
      <c r="F1971" s="2">
        <v>800123965992</v>
      </c>
      <c r="G1971" s="0" t="inlineStr">
        <is>
          <t>YOUTH</t>
        </is>
      </c>
      <c r="H1971" s="0" t="inlineStr">
        <is>
          <t>12 PACK</t>
        </is>
      </c>
      <c r="I1971" s="0">
        <v>390</v>
      </c>
      <c r="J1971" s="0">
        <v>0</v>
      </c>
    </row>
    <row r="1972" spans="1:10" customHeight="0">
      <c r="A1972" s="0">
        <f>HYPERLINK("https://dl.dropboxusercontent.com/scl/fi/dwnwccb9id1hlc89mxw3g/103047af31765.jpg?rlkey=yucejdlrea3tjtbr2ls5zhkdn&amp;dl=0","Click to download Image")</f>
      </c>
      <c r="B1972" s="0">
        <f>HYPERLINK("https://dl.dropboxusercontent.com/scl/fi/ial8fw1bmonz706oy5z18/mens-bottoms-size-chartsking.jpg?rlkey=ubrfuk5cgf36kwxv6q257elok&amp;dl=0","Click to download SizeChart")</f>
      </c>
      <c r="C1972" s="0" t="inlineStr">
        <is>
          <t>King Men's Shorts</t>
        </is>
      </c>
      <c r="D1972" s="1">
        <v>103047</v>
      </c>
      <c r="E1972" s="0" t="inlineStr">
        <is>
          <t>KING:103047-30</t>
        </is>
      </c>
      <c r="G1972" s="0" t="inlineStr">
        <is>
          <t>MENS</t>
        </is>
      </c>
      <c r="H1972" s="0" t="inlineStr">
        <is>
          <t>30</t>
        </is>
      </c>
      <c r="I1972" s="0">
        <v>42.99</v>
      </c>
      <c r="J1972" s="0">
        <v>49</v>
      </c>
    </row>
    <row r="1973" spans="1:10" customHeight="0">
      <c r="A1973" s="0">
        <f>HYPERLINK("https://dl.dropboxusercontent.com/scl/fi/dwnwccb9id1hlc89mxw3g/103047af31765.jpg?rlkey=yucejdlrea3tjtbr2ls5zhkdn&amp;dl=0","Click to download Image")</f>
      </c>
      <c r="B1973" s="0">
        <f>HYPERLINK("https://dl.dropboxusercontent.com/scl/fi/ial8fw1bmonz706oy5z18/mens-bottoms-size-chartsking.jpg?rlkey=ubrfuk5cgf36kwxv6q257elok&amp;dl=0","Click to download SizeChart")</f>
      </c>
      <c r="C1973" s="0" t="inlineStr">
        <is>
          <t>King Men's Shorts</t>
        </is>
      </c>
      <c r="D1973" s="1">
        <v>103047</v>
      </c>
      <c r="E1973" s="0" t="inlineStr">
        <is>
          <t>KING:103047-32</t>
        </is>
      </c>
      <c r="G1973" s="0" t="inlineStr">
        <is>
          <t>MENS</t>
        </is>
      </c>
      <c r="H1973" s="0" t="inlineStr">
        <is>
          <t>32</t>
        </is>
      </c>
      <c r="I1973" s="0">
        <v>42.99</v>
      </c>
      <c r="J1973" s="0">
        <v>71</v>
      </c>
    </row>
    <row r="1974" spans="1:10" customHeight="0">
      <c r="A1974" s="0">
        <f>HYPERLINK("https://dl.dropboxusercontent.com/scl/fi/dwnwccb9id1hlc89mxw3g/103047af31765.jpg?rlkey=yucejdlrea3tjtbr2ls5zhkdn&amp;dl=0","Click to download Image")</f>
      </c>
      <c r="B1974" s="0">
        <f>HYPERLINK("https://dl.dropboxusercontent.com/scl/fi/ial8fw1bmonz706oy5z18/mens-bottoms-size-chartsking.jpg?rlkey=ubrfuk5cgf36kwxv6q257elok&amp;dl=0","Click to download SizeChart")</f>
      </c>
      <c r="C1974" s="0" t="inlineStr">
        <is>
          <t>King Men's Shorts</t>
        </is>
      </c>
      <c r="D1974" s="1">
        <v>103047</v>
      </c>
      <c r="E1974" s="0" t="inlineStr">
        <is>
          <t>KING:103047-34</t>
        </is>
      </c>
      <c r="G1974" s="0" t="inlineStr">
        <is>
          <t>MENS</t>
        </is>
      </c>
      <c r="H1974" s="0" t="inlineStr">
        <is>
          <t>34</t>
        </is>
      </c>
      <c r="I1974" s="0">
        <v>42.99</v>
      </c>
      <c r="J1974" s="0">
        <v>73</v>
      </c>
    </row>
    <row r="1975" spans="1:10" customHeight="0">
      <c r="A1975" s="0">
        <f>HYPERLINK("https://dl.dropboxusercontent.com/scl/fi/dwnwccb9id1hlc89mxw3g/103047af31765.jpg?rlkey=yucejdlrea3tjtbr2ls5zhkdn&amp;dl=0","Click to download Image")</f>
      </c>
      <c r="B1975" s="0">
        <f>HYPERLINK("https://dl.dropboxusercontent.com/scl/fi/ial8fw1bmonz706oy5z18/mens-bottoms-size-chartsking.jpg?rlkey=ubrfuk5cgf36kwxv6q257elok&amp;dl=0","Click to download SizeChart")</f>
      </c>
      <c r="C1975" s="0" t="inlineStr">
        <is>
          <t>King Men's Shorts</t>
        </is>
      </c>
      <c r="D1975" s="1">
        <v>103047</v>
      </c>
      <c r="E1975" s="0" t="inlineStr">
        <is>
          <t>KING:103047-36</t>
        </is>
      </c>
      <c r="G1975" s="0" t="inlineStr">
        <is>
          <t>MENS</t>
        </is>
      </c>
      <c r="H1975" s="0" t="inlineStr">
        <is>
          <t>36</t>
        </is>
      </c>
      <c r="I1975" s="0">
        <v>42.99</v>
      </c>
      <c r="J1975" s="0">
        <v>53</v>
      </c>
    </row>
    <row r="1976" spans="1:10" customHeight="0">
      <c r="A1976" s="0">
        <f>HYPERLINK("https://dl.dropboxusercontent.com/scl/fi/dwnwccb9id1hlc89mxw3g/103047af31765.jpg?rlkey=yucejdlrea3tjtbr2ls5zhkdn&amp;dl=0","Click to download Image")</f>
      </c>
      <c r="B1976" s="0">
        <f>HYPERLINK("https://dl.dropboxusercontent.com/scl/fi/ial8fw1bmonz706oy5z18/mens-bottoms-size-chartsking.jpg?rlkey=ubrfuk5cgf36kwxv6q257elok&amp;dl=0","Click to download SizeChart")</f>
      </c>
      <c r="C1976" s="0" t="inlineStr">
        <is>
          <t>King Men's Shorts</t>
        </is>
      </c>
      <c r="D1976" s="1">
        <v>103047</v>
      </c>
      <c r="E1976" s="0" t="inlineStr">
        <is>
          <t>KING:103047-38</t>
        </is>
      </c>
      <c r="G1976" s="0" t="inlineStr">
        <is>
          <t>MENS</t>
        </is>
      </c>
      <c r="H1976" s="0" t="inlineStr">
        <is>
          <t>38</t>
        </is>
      </c>
      <c r="I1976" s="0">
        <v>42.99</v>
      </c>
      <c r="J1976" s="0">
        <v>16</v>
      </c>
    </row>
    <row r="1977" spans="1:10" customHeight="0">
      <c r="A1977" s="0">
        <f>HYPERLINK("https://dl.dropboxusercontent.com/scl/fi/dwnwccb9id1hlc89mxw3g/103047af31765.jpg?rlkey=yucejdlrea3tjtbr2ls5zhkdn&amp;dl=0","Click to download Image")</f>
      </c>
      <c r="B1977" s="0">
        <f>HYPERLINK("https://dl.dropboxusercontent.com/scl/fi/ial8fw1bmonz706oy5z18/mens-bottoms-size-chartsking.jpg?rlkey=ubrfuk5cgf36kwxv6q257elok&amp;dl=0","Click to download SizeChart")</f>
      </c>
      <c r="C1977" s="0" t="inlineStr">
        <is>
          <t>King Men's Shorts</t>
        </is>
      </c>
      <c r="D1977" s="1">
        <v>103047</v>
      </c>
      <c r="E1977" s="0" t="inlineStr">
        <is>
          <t>KING:103047-40</t>
        </is>
      </c>
      <c r="G1977" s="0" t="inlineStr">
        <is>
          <t>MENS</t>
        </is>
      </c>
      <c r="H1977" s="0" t="inlineStr">
        <is>
          <t>40</t>
        </is>
      </c>
      <c r="I1977" s="0">
        <v>42.99</v>
      </c>
      <c r="J1977" s="0">
        <v>10</v>
      </c>
    </row>
    <row r="1978" spans="1:10" customHeight="0">
      <c r="A1978" s="0">
        <f>HYPERLINK("https://dl.dropboxusercontent.com/scl/fi/dwnwccb9id1hlc89mxw3g/103047af31765.jpg?rlkey=yucejdlrea3tjtbr2ls5zhkdn&amp;dl=0","Click to download Image")</f>
      </c>
      <c r="B1978" s="0">
        <f>HYPERLINK("https://dl.dropboxusercontent.com/scl/fi/ial8fw1bmonz706oy5z18/mens-bottoms-size-chartsking.jpg?rlkey=ubrfuk5cgf36kwxv6q257elok&amp;dl=0","Click to download SizeChart")</f>
      </c>
      <c r="C1978" s="0" t="inlineStr">
        <is>
          <t>King Men's Shorts</t>
        </is>
      </c>
      <c r="D1978" s="1">
        <v>103047</v>
      </c>
      <c r="E1978" s="0" t="inlineStr">
        <is>
          <t>KING:103047-42</t>
        </is>
      </c>
      <c r="G1978" s="0" t="inlineStr">
        <is>
          <t>MENS</t>
        </is>
      </c>
      <c r="H1978" s="0" t="inlineStr">
        <is>
          <t>42</t>
        </is>
      </c>
      <c r="I1978" s="0">
        <v>42.99</v>
      </c>
      <c r="J1978" s="0">
        <v>11</v>
      </c>
    </row>
    <row r="1979" spans="1:10" customHeight="0">
      <c r="A1979" s="0">
        <f>HYPERLINK("https://dl.dropboxusercontent.com/scl/fi/zg1p165gkpo896f3ityqj/113440-af.jpg?rlkey=06nt5h1nqkm8ki7xamrcn87wb&amp;dl=0","Click to download Image")</f>
      </c>
      <c r="C1979" s="0" t="inlineStr">
        <is>
          <t>Archie Men's Cap</t>
        </is>
      </c>
      <c r="D1979" s="1">
        <v>113440</v>
      </c>
      <c r="E1979" s="0" t="inlineStr">
        <is>
          <t>IOWA ARCHIE:113440</t>
        </is>
      </c>
      <c r="F1979" s="2">
        <v>700113440006</v>
      </c>
      <c r="G1979" s="0" t="inlineStr">
        <is>
          <t>MENS</t>
        </is>
      </c>
      <c r="H1979" s="0" t="inlineStr">
        <is>
          <t>STANDARD MENS</t>
        </is>
      </c>
      <c r="I1979" s="0">
        <v>22</v>
      </c>
      <c r="J1979" s="0">
        <v>142</v>
      </c>
    </row>
    <row r="1980" spans="1:10" customHeight="0">
      <c r="A1980" s="0">
        <f>HYPERLINK("https://dl.dropboxusercontent.com/scl/fi/lpiuhsx7lq3xj86npq7lh/95285f.jpg?rlkey=lbsq88djkodc4muqsgw8i3b0l&amp;dl=0","Click to download Image")</f>
      </c>
      <c r="B1980" s="0">
        <f>HYPERLINK("https://dl.dropboxusercontent.com/scl/fi/0yrkkdb5x00l9mq7qf34l/graphic-update22022-infant.jpg?rlkey=j9s4d33ov6emsp1tem83ntcdg&amp;dl=0","Click to download SizeChart")</f>
      </c>
      <c r="C1980" s="0" t="inlineStr">
        <is>
          <t>Adrian Infant Bodysuit</t>
        </is>
      </c>
      <c r="D1980" s="1">
        <v>95285</v>
      </c>
      <c r="E1980" s="0" t="inlineStr">
        <is>
          <t>ADRIAN:95285 0M-3M</t>
        </is>
      </c>
      <c r="G1980" s="0" t="inlineStr">
        <is>
          <t>INFANT</t>
        </is>
      </c>
      <c r="H1980" s="0" t="inlineStr">
        <is>
          <t>0-3M</t>
        </is>
      </c>
      <c r="I1980" s="0">
        <v>24.99</v>
      </c>
      <c r="J1980" s="0">
        <v>101</v>
      </c>
    </row>
    <row r="1981" spans="1:10" customHeight="0">
      <c r="A1981" s="0">
        <f>HYPERLINK("https://dl.dropboxusercontent.com/scl/fi/lpiuhsx7lq3xj86npq7lh/95285f.jpg?rlkey=lbsq88djkodc4muqsgw8i3b0l&amp;dl=0","Click to download Image")</f>
      </c>
      <c r="B1981" s="0">
        <f>HYPERLINK("https://dl.dropboxusercontent.com/scl/fi/0yrkkdb5x00l9mq7qf34l/graphic-update22022-infant.jpg?rlkey=j9s4d33ov6emsp1tem83ntcdg&amp;dl=0","Click to download SizeChart")</f>
      </c>
      <c r="C1981" s="0" t="inlineStr">
        <is>
          <t>Adrian Infant Bodysuit</t>
        </is>
      </c>
      <c r="D1981" s="1">
        <v>95285</v>
      </c>
      <c r="E1981" s="0" t="inlineStr">
        <is>
          <t>ADRIAN:95285 3M-6M</t>
        </is>
      </c>
      <c r="G1981" s="0" t="inlineStr">
        <is>
          <t>INFANT</t>
        </is>
      </c>
      <c r="H1981" s="0" t="inlineStr">
        <is>
          <t>3-6M</t>
        </is>
      </c>
      <c r="I1981" s="0">
        <v>24.99</v>
      </c>
      <c r="J1981" s="0">
        <v>94</v>
      </c>
    </row>
    <row r="1982" spans="1:10" customHeight="0">
      <c r="A1982" s="0">
        <f>HYPERLINK("https://dl.dropboxusercontent.com/scl/fi/lpiuhsx7lq3xj86npq7lh/95285f.jpg?rlkey=lbsq88djkodc4muqsgw8i3b0l&amp;dl=0","Click to download Image")</f>
      </c>
      <c r="B1982" s="0">
        <f>HYPERLINK("https://dl.dropboxusercontent.com/scl/fi/0yrkkdb5x00l9mq7qf34l/graphic-update22022-infant.jpg?rlkey=j9s4d33ov6emsp1tem83ntcdg&amp;dl=0","Click to download SizeChart")</f>
      </c>
      <c r="C1982" s="0" t="inlineStr">
        <is>
          <t>Adrian Infant Bodysuit</t>
        </is>
      </c>
      <c r="D1982" s="1">
        <v>95285</v>
      </c>
      <c r="E1982" s="0" t="inlineStr">
        <is>
          <t>ADRIAN:95285 6M-9M</t>
        </is>
      </c>
      <c r="G1982" s="0" t="inlineStr">
        <is>
          <t>INFANT</t>
        </is>
      </c>
      <c r="H1982" s="0" t="inlineStr">
        <is>
          <t>6-9M</t>
        </is>
      </c>
      <c r="I1982" s="0">
        <v>24.99</v>
      </c>
      <c r="J1982" s="0">
        <v>92</v>
      </c>
    </row>
    <row r="1983" spans="1:10" customHeight="0">
      <c r="A1983" s="0">
        <f>HYPERLINK("https://dl.dropboxusercontent.com/scl/fi/lpiuhsx7lq3xj86npq7lh/95285f.jpg?rlkey=lbsq88djkodc4muqsgw8i3b0l&amp;dl=0","Click to download Image")</f>
      </c>
      <c r="B1983" s="0">
        <f>HYPERLINK("https://dl.dropboxusercontent.com/scl/fi/0yrkkdb5x00l9mq7qf34l/graphic-update22022-infant.jpg?rlkey=j9s4d33ov6emsp1tem83ntcdg&amp;dl=0","Click to download SizeChart")</f>
      </c>
      <c r="C1983" s="0" t="inlineStr">
        <is>
          <t>Adrian Infant Bodysuit</t>
        </is>
      </c>
      <c r="D1983" s="1">
        <v>95285</v>
      </c>
      <c r="E1983" s="0" t="inlineStr">
        <is>
          <t>ADRIAN:95285 9M-12M</t>
        </is>
      </c>
      <c r="G1983" s="0" t="inlineStr">
        <is>
          <t>INFANT</t>
        </is>
      </c>
      <c r="H1983" s="0" t="inlineStr">
        <is>
          <t>12M</t>
        </is>
      </c>
      <c r="I1983" s="0">
        <v>24.99</v>
      </c>
      <c r="J1983" s="0">
        <v>91</v>
      </c>
    </row>
    <row r="1984" spans="1:10" customHeight="0">
      <c r="A1984" s="0">
        <f>HYPERLINK("https://dl.dropboxusercontent.com/scl/fi/7ivxref7ootpkrp2fo9ii/95286f.jpg?rlkey=la576r83b7pumbk817bxvg798&amp;dl=0","Click to download Image")</f>
      </c>
      <c r="B1984" s="0">
        <f>HYPERLINK("https://dl.dropboxusercontent.com/scl/fi/33fy778nn55fl4vzuodsb/graphic-update22022-infant.jpg?rlkey=jedszbxfhh0rf1js4w71hwn2c&amp;dl=0","Click to download SizeChart")</f>
      </c>
      <c r="C1984" s="0" t="inlineStr">
        <is>
          <t>Andre Infant Bodysuit</t>
        </is>
      </c>
      <c r="D1984" s="1">
        <v>95286</v>
      </c>
      <c r="E1984" s="0" t="inlineStr">
        <is>
          <t>ANDRE:95286 0M-3M</t>
        </is>
      </c>
      <c r="G1984" s="0" t="inlineStr">
        <is>
          <t>INFANT</t>
        </is>
      </c>
      <c r="H1984" s="0" t="inlineStr">
        <is>
          <t>0-3M</t>
        </is>
      </c>
      <c r="I1984" s="0">
        <v>24.99</v>
      </c>
      <c r="J1984" s="0">
        <v>100</v>
      </c>
    </row>
    <row r="1985" spans="1:10" customHeight="0">
      <c r="A1985" s="0">
        <f>HYPERLINK("https://dl.dropboxusercontent.com/scl/fi/7ivxref7ootpkrp2fo9ii/95286f.jpg?rlkey=la576r83b7pumbk817bxvg798&amp;dl=0","Click to download Image")</f>
      </c>
      <c r="B1985" s="0">
        <f>HYPERLINK("https://dl.dropboxusercontent.com/scl/fi/33fy778nn55fl4vzuodsb/graphic-update22022-infant.jpg?rlkey=jedszbxfhh0rf1js4w71hwn2c&amp;dl=0","Click to download SizeChart")</f>
      </c>
      <c r="C1985" s="0" t="inlineStr">
        <is>
          <t>Andre Infant Bodysuit</t>
        </is>
      </c>
      <c r="D1985" s="1">
        <v>95286</v>
      </c>
      <c r="E1985" s="0" t="inlineStr">
        <is>
          <t>ANDRE:95286 3M-6M</t>
        </is>
      </c>
      <c r="G1985" s="0" t="inlineStr">
        <is>
          <t>INFANT</t>
        </is>
      </c>
      <c r="H1985" s="0" t="inlineStr">
        <is>
          <t>3-6M</t>
        </is>
      </c>
      <c r="I1985" s="0">
        <v>24.99</v>
      </c>
      <c r="J1985" s="0">
        <v>83</v>
      </c>
    </row>
    <row r="1986" spans="1:10" customHeight="0">
      <c r="A1986" s="0">
        <f>HYPERLINK("https://dl.dropboxusercontent.com/scl/fi/7ivxref7ootpkrp2fo9ii/95286f.jpg?rlkey=la576r83b7pumbk817bxvg798&amp;dl=0","Click to download Image")</f>
      </c>
      <c r="B1986" s="0">
        <f>HYPERLINK("https://dl.dropboxusercontent.com/scl/fi/33fy778nn55fl4vzuodsb/graphic-update22022-infant.jpg?rlkey=jedszbxfhh0rf1js4w71hwn2c&amp;dl=0","Click to download SizeChart")</f>
      </c>
      <c r="C1986" s="0" t="inlineStr">
        <is>
          <t>Andre Infant Bodysuit</t>
        </is>
      </c>
      <c r="D1986" s="1">
        <v>95286</v>
      </c>
      <c r="E1986" s="0" t="inlineStr">
        <is>
          <t>ANDRE:95286 6M-9M</t>
        </is>
      </c>
      <c r="G1986" s="0" t="inlineStr">
        <is>
          <t>INFANT</t>
        </is>
      </c>
      <c r="H1986" s="0" t="inlineStr">
        <is>
          <t>6-9M</t>
        </is>
      </c>
      <c r="I1986" s="0">
        <v>24.99</v>
      </c>
      <c r="J1986" s="0">
        <v>85</v>
      </c>
    </row>
    <row r="1987" spans="1:10" customHeight="0">
      <c r="A1987" s="0">
        <f>HYPERLINK("https://dl.dropboxusercontent.com/scl/fi/7ivxref7ootpkrp2fo9ii/95286f.jpg?rlkey=la576r83b7pumbk817bxvg798&amp;dl=0","Click to download Image")</f>
      </c>
      <c r="B1987" s="0">
        <f>HYPERLINK("https://dl.dropboxusercontent.com/scl/fi/33fy778nn55fl4vzuodsb/graphic-update22022-infant.jpg?rlkey=jedszbxfhh0rf1js4w71hwn2c&amp;dl=0","Click to download SizeChart")</f>
      </c>
      <c r="C1987" s="0" t="inlineStr">
        <is>
          <t>Andre Infant Bodysuit</t>
        </is>
      </c>
      <c r="D1987" s="1">
        <v>95286</v>
      </c>
      <c r="E1987" s="0" t="inlineStr">
        <is>
          <t>ANDRE:95286 9M-12M</t>
        </is>
      </c>
      <c r="G1987" s="0" t="inlineStr">
        <is>
          <t>INFANT</t>
        </is>
      </c>
      <c r="H1987" s="0" t="inlineStr">
        <is>
          <t>12M</t>
        </is>
      </c>
      <c r="I1987" s="0">
        <v>24.99</v>
      </c>
      <c r="J1987" s="0">
        <v>89</v>
      </c>
    </row>
    <row r="1988" spans="1:10" customHeight="0">
      <c r="A1988" s="0">
        <f>HYPERLINK("https://dl.dropboxusercontent.com/scl/fi/q0d6oclnfbimxuovqmahi/97144af.jpg?rlkey=lbtbvbcjsresm9bqza0vu4255&amp;dl=0","Click to download Image")</f>
      </c>
      <c r="C1988" s="0" t="inlineStr">
        <is>
          <t>Angel Printed Backpack</t>
        </is>
      </c>
      <c r="D1988" s="1">
        <v>97144</v>
      </c>
      <c r="E1988" s="0" t="inlineStr">
        <is>
          <t>ANGEL:97144</t>
        </is>
      </c>
      <c r="H1988" s="0" t="inlineStr">
        <is>
          <t>9" X 4.5" X 13.5"</t>
        </is>
      </c>
      <c r="I1988" s="0">
        <v>44.99</v>
      </c>
      <c r="J1988" s="0">
        <v>430</v>
      </c>
    </row>
    <row r="1989" spans="1:10" customHeight="0">
      <c r="A1989" s="0">
        <f>HYPERLINK("https://dl.dropboxusercontent.com/scl/fi/b3tmr3ew696910s7leu3i/cocoia.jpg?rlkey=57gqdsf0f4l2xx3vivj7ex27k&amp;dl=0","Click to download Image")</f>
      </c>
      <c r="B1989" s="0">
        <f>HYPERLINK("https://dl.dropboxusercontent.com/scl/fi/9tfz4eqy9869qu64jh069/womens-long-sleeve-size-chartscoco.jpg?rlkey=u54t7iljy1u2pp6hcdctpk2ap&amp;dl=0","Click to download SizeChart")</f>
      </c>
      <c r="C1989" s="0" t="inlineStr">
        <is>
          <t>Coco Women's Cut Out Long Sleeve</t>
        </is>
      </c>
      <c r="D1989" s="1">
        <v>110831</v>
      </c>
      <c r="E1989" s="0" t="inlineStr">
        <is>
          <t>IOWA COCO BLACK:110831AA-XS</t>
        </is>
      </c>
      <c r="F1989" s="2">
        <v>800110831033</v>
      </c>
      <c r="G1989" s="0" t="inlineStr">
        <is>
          <t>WOMENS</t>
        </is>
      </c>
      <c r="H1989" s="0" t="inlineStr">
        <is>
          <t>XS</t>
        </is>
      </c>
      <c r="I1989" s="0">
        <v>49.99</v>
      </c>
      <c r="J1989" s="0">
        <v>40</v>
      </c>
    </row>
    <row r="1990" spans="1:10" customHeight="0">
      <c r="A1990" s="0">
        <f>HYPERLINK("https://dl.dropboxusercontent.com/scl/fi/b3tmr3ew696910s7leu3i/cocoia.jpg?rlkey=57gqdsf0f4l2xx3vivj7ex27k&amp;dl=0","Click to download Image")</f>
      </c>
      <c r="B1990" s="0">
        <f>HYPERLINK("https://dl.dropboxusercontent.com/scl/fi/9tfz4eqy9869qu64jh069/womens-long-sleeve-size-chartscoco.jpg?rlkey=u54t7iljy1u2pp6hcdctpk2ap&amp;dl=0","Click to download SizeChart")</f>
      </c>
      <c r="C1990" s="0" t="inlineStr">
        <is>
          <t>Coco Women's Cut Out Long Sleeve</t>
        </is>
      </c>
      <c r="D1990" s="1">
        <v>110831</v>
      </c>
      <c r="E1990" s="0" t="inlineStr">
        <is>
          <t>IOWA COCO BLACK:110831A-S</t>
        </is>
      </c>
      <c r="F1990" s="2">
        <v>800110831040</v>
      </c>
      <c r="G1990" s="0" t="inlineStr">
        <is>
          <t>WOMENS</t>
        </is>
      </c>
      <c r="H1990" s="0" t="inlineStr">
        <is>
          <t>S</t>
        </is>
      </c>
      <c r="I1990" s="0">
        <v>49.99</v>
      </c>
      <c r="J1990" s="0">
        <v>56</v>
      </c>
    </row>
    <row r="1991" spans="1:10" customHeight="0">
      <c r="A1991" s="0">
        <f>HYPERLINK("https://dl.dropboxusercontent.com/scl/fi/b3tmr3ew696910s7leu3i/cocoia.jpg?rlkey=57gqdsf0f4l2xx3vivj7ex27k&amp;dl=0","Click to download Image")</f>
      </c>
      <c r="B1991" s="0">
        <f>HYPERLINK("https://dl.dropboxusercontent.com/scl/fi/9tfz4eqy9869qu64jh069/womens-long-sleeve-size-chartscoco.jpg?rlkey=u54t7iljy1u2pp6hcdctpk2ap&amp;dl=0","Click to download SizeChart")</f>
      </c>
      <c r="C1991" s="0" t="inlineStr">
        <is>
          <t>Coco Women's Cut Out Long Sleeve</t>
        </is>
      </c>
      <c r="D1991" s="1">
        <v>110831</v>
      </c>
      <c r="E1991" s="0" t="inlineStr">
        <is>
          <t>IOWA COCO BLACK:110831B-M</t>
        </is>
      </c>
      <c r="F1991" s="2">
        <v>800110831057</v>
      </c>
      <c r="G1991" s="0" t="inlineStr">
        <is>
          <t>WOMENS</t>
        </is>
      </c>
      <c r="H1991" s="0" t="inlineStr">
        <is>
          <t>M</t>
        </is>
      </c>
      <c r="I1991" s="0">
        <v>49.99</v>
      </c>
      <c r="J1991" s="0">
        <v>54</v>
      </c>
    </row>
    <row r="1992" spans="1:10" customHeight="0">
      <c r="A1992" s="0">
        <f>HYPERLINK("https://dl.dropboxusercontent.com/scl/fi/b3tmr3ew696910s7leu3i/cocoia.jpg?rlkey=57gqdsf0f4l2xx3vivj7ex27k&amp;dl=0","Click to download Image")</f>
      </c>
      <c r="B1992" s="0">
        <f>HYPERLINK("https://dl.dropboxusercontent.com/scl/fi/9tfz4eqy9869qu64jh069/womens-long-sleeve-size-chartscoco.jpg?rlkey=u54t7iljy1u2pp6hcdctpk2ap&amp;dl=0","Click to download SizeChart")</f>
      </c>
      <c r="C1992" s="0" t="inlineStr">
        <is>
          <t>Coco Women's Cut Out Long Sleeve</t>
        </is>
      </c>
      <c r="D1992" s="1">
        <v>110831</v>
      </c>
      <c r="E1992" s="0" t="inlineStr">
        <is>
          <t>IOWA COCO BLACK:110831C-L</t>
        </is>
      </c>
      <c r="F1992" s="2">
        <v>800110831064</v>
      </c>
      <c r="G1992" s="0" t="inlineStr">
        <is>
          <t>WOMENS</t>
        </is>
      </c>
      <c r="H1992" s="0" t="inlineStr">
        <is>
          <t>L</t>
        </is>
      </c>
      <c r="I1992" s="0">
        <v>49.99</v>
      </c>
      <c r="J1992" s="0">
        <v>35</v>
      </c>
    </row>
    <row r="1993" spans="1:10" customHeight="0">
      <c r="A1993" s="0">
        <f>HYPERLINK("https://dl.dropboxusercontent.com/scl/fi/b3tmr3ew696910s7leu3i/cocoia.jpg?rlkey=57gqdsf0f4l2xx3vivj7ex27k&amp;dl=0","Click to download Image")</f>
      </c>
      <c r="B1993" s="0">
        <f>HYPERLINK("https://dl.dropboxusercontent.com/scl/fi/9tfz4eqy9869qu64jh069/womens-long-sleeve-size-chartscoco.jpg?rlkey=u54t7iljy1u2pp6hcdctpk2ap&amp;dl=0","Click to download SizeChart")</f>
      </c>
      <c r="C1993" s="0" t="inlineStr">
        <is>
          <t>Coco Women's Cut Out Long Sleeve</t>
        </is>
      </c>
      <c r="D1993" s="1">
        <v>110831</v>
      </c>
      <c r="E1993" s="0" t="inlineStr">
        <is>
          <t>IOWA COCO BLACK:110831D-XL</t>
        </is>
      </c>
      <c r="F1993" s="2">
        <v>800110831071</v>
      </c>
      <c r="G1993" s="0" t="inlineStr">
        <is>
          <t>WOMENS</t>
        </is>
      </c>
      <c r="H1993" s="0" t="inlineStr">
        <is>
          <t>XL</t>
        </is>
      </c>
      <c r="I1993" s="0">
        <v>49.99</v>
      </c>
      <c r="J1993" s="0">
        <v>39</v>
      </c>
    </row>
    <row r="1994" spans="1:10" customHeight="0">
      <c r="A1994" s="0">
        <f>HYPERLINK("https://dl.dropboxusercontent.com/scl/fi/b3tmr3ew696910s7leu3i/cocoia.jpg?rlkey=57gqdsf0f4l2xx3vivj7ex27k&amp;dl=0","Click to download Image")</f>
      </c>
      <c r="B1994" s="0">
        <f>HYPERLINK("https://dl.dropboxusercontent.com/scl/fi/9tfz4eqy9869qu64jh069/womens-long-sleeve-size-chartscoco.jpg?rlkey=u54t7iljy1u2pp6hcdctpk2ap&amp;dl=0","Click to download SizeChart")</f>
      </c>
      <c r="C1994" s="0" t="inlineStr">
        <is>
          <t>Coco Women's Cut Out Long Sleeve</t>
        </is>
      </c>
      <c r="D1994" s="1">
        <v>110831</v>
      </c>
      <c r="E1994" s="0" t="inlineStr">
        <is>
          <t>IOWA COCO BLACK:110831E-2XL</t>
        </is>
      </c>
      <c r="F1994" s="2">
        <v>800110831088</v>
      </c>
      <c r="G1994" s="0" t="inlineStr">
        <is>
          <t>WOMENS</t>
        </is>
      </c>
      <c r="H1994" s="0" t="inlineStr">
        <is>
          <t>2XL</t>
        </is>
      </c>
      <c r="I1994" s="0">
        <v>51.99</v>
      </c>
      <c r="J1994" s="0">
        <v>24</v>
      </c>
    </row>
    <row r="1995" spans="1:10" customHeight="0">
      <c r="A1995" s="0">
        <f>HYPERLINK("https://dl.dropboxusercontent.com/scl/fi/b3tmr3ew696910s7leu3i/cocoia.jpg?rlkey=57gqdsf0f4l2xx3vivj7ex27k&amp;dl=0","Click to download Image")</f>
      </c>
      <c r="B1995" s="0">
        <f>HYPERLINK("https://dl.dropboxusercontent.com/scl/fi/9tfz4eqy9869qu64jh069/womens-long-sleeve-size-chartscoco.jpg?rlkey=u54t7iljy1u2pp6hcdctpk2ap&amp;dl=0","Click to download SizeChart")</f>
      </c>
      <c r="C1995" s="0" t="inlineStr">
        <is>
          <t>Coco Women's Cut Out Long Sleeve</t>
        </is>
      </c>
      <c r="D1995" s="1">
        <v>110831</v>
      </c>
      <c r="E1995" s="0" t="inlineStr">
        <is>
          <t>IOWA COCO BLACK:110831F-3XL</t>
        </is>
      </c>
      <c r="F1995" s="2">
        <v>800110831095</v>
      </c>
      <c r="G1995" s="0" t="inlineStr">
        <is>
          <t>WOMENS</t>
        </is>
      </c>
      <c r="H1995" s="0" t="inlineStr">
        <is>
          <t>3XL</t>
        </is>
      </c>
      <c r="I1995" s="0">
        <v>51.99</v>
      </c>
      <c r="J1995" s="0">
        <v>23</v>
      </c>
    </row>
    <row r="1996" spans="1:10" customHeight="0">
      <c r="A1996" s="0">
        <f>HYPERLINK("https://dl.dropboxusercontent.com/scl/fi/b3tmr3ew696910s7leu3i/cocoia.jpg?rlkey=57gqdsf0f4l2xx3vivj7ex27k&amp;dl=0","Click to download Image")</f>
      </c>
      <c r="B1996" s="0">
        <f>HYPERLINK("https://dl.dropboxusercontent.com/scl/fi/9tfz4eqy9869qu64jh069/womens-long-sleeve-size-chartscoco.jpg?rlkey=u54t7iljy1u2pp6hcdctpk2ap&amp;dl=0","Click to download SizeChart")</f>
      </c>
      <c r="C1996" s="0" t="inlineStr">
        <is>
          <t>Coco Women's Cut Out Long Sleeve</t>
        </is>
      </c>
      <c r="D1996" s="1">
        <v>110831</v>
      </c>
      <c r="E1996" s="0" t="inlineStr">
        <is>
          <t>IOWA COCO BLACK 12 PACK:110831Z-12PK</t>
        </is>
      </c>
      <c r="F1996" s="2">
        <v>800110831996</v>
      </c>
      <c r="G1996" s="0" t="inlineStr">
        <is>
          <t>WOMENS</t>
        </is>
      </c>
      <c r="H1996" s="0" t="inlineStr">
        <is>
          <t>12 PACK</t>
        </is>
      </c>
      <c r="I1996" s="0">
        <v>480</v>
      </c>
      <c r="J1996" s="0">
        <v>0</v>
      </c>
    </row>
    <row r="1997" spans="1:10" customHeight="0">
      <c r="A1997" s="0">
        <f>HYPERLINK("https://dl.dropboxusercontent.com/scl/fi/h7kjnd3ou6uf6dmvhdsuz/113456-f1.jpg?rlkey=jnobwvinalow5h0z9uj0fb4l7&amp;dl=0","Click to download Image")</f>
      </c>
      <c r="B1997" s="0">
        <f>HYPERLINK("https://dl.dropboxusercontent.com/scl/fi/3on8pe36po55dqzm9v1q3/graphic-update22022-infant.jpg?rlkey=y1abenjbb60c69tk55lg2u96f&amp;dl=0","Click to download SizeChart")</f>
      </c>
      <c r="C1997" s="0" t="inlineStr">
        <is>
          <t>Morrissey Infant Bodysuit</t>
        </is>
      </c>
      <c r="D1997" s="1">
        <v>113456</v>
      </c>
      <c r="E1997" s="0" t="inlineStr">
        <is>
          <t>IOWA MORRISSEY I WHITE:113456A-0-3M</t>
        </is>
      </c>
      <c r="F1997" s="2">
        <v>800113456004</v>
      </c>
      <c r="G1997" s="0" t="inlineStr">
        <is>
          <t>INFANT</t>
        </is>
      </c>
      <c r="H1997" s="0" t="inlineStr">
        <is>
          <t>0-3M</t>
        </is>
      </c>
      <c r="I1997" s="0">
        <v>32.99</v>
      </c>
      <c r="J1997" s="0">
        <v>2</v>
      </c>
    </row>
    <row r="1998" spans="1:10" customHeight="0">
      <c r="A1998" s="0">
        <f>HYPERLINK("https://dl.dropboxusercontent.com/scl/fi/h7kjnd3ou6uf6dmvhdsuz/113456-f1.jpg?rlkey=jnobwvinalow5h0z9uj0fb4l7&amp;dl=0","Click to download Image")</f>
      </c>
      <c r="B1998" s="0">
        <f>HYPERLINK("https://dl.dropboxusercontent.com/scl/fi/3on8pe36po55dqzm9v1q3/graphic-update22022-infant.jpg?rlkey=y1abenjbb60c69tk55lg2u96f&amp;dl=0","Click to download SizeChart")</f>
      </c>
      <c r="C1998" s="0" t="inlineStr">
        <is>
          <t>Morrissey Infant Bodysuit</t>
        </is>
      </c>
      <c r="D1998" s="1">
        <v>113456</v>
      </c>
      <c r="E1998" s="0" t="inlineStr">
        <is>
          <t>IOWA MORRISSEY I WHITE:113456B-3-6M</t>
        </is>
      </c>
      <c r="F1998" s="2">
        <v>800113456011</v>
      </c>
      <c r="G1998" s="0" t="inlineStr">
        <is>
          <t>INFANT</t>
        </is>
      </c>
      <c r="H1998" s="0" t="inlineStr">
        <is>
          <t>3-6M</t>
        </is>
      </c>
      <c r="I1998" s="0">
        <v>32.99</v>
      </c>
      <c r="J1998" s="0">
        <v>5</v>
      </c>
    </row>
    <row r="1999" spans="1:10" customHeight="0">
      <c r="A1999" s="0">
        <f>HYPERLINK("https://dl.dropboxusercontent.com/scl/fi/h7kjnd3ou6uf6dmvhdsuz/113456-f1.jpg?rlkey=jnobwvinalow5h0z9uj0fb4l7&amp;dl=0","Click to download Image")</f>
      </c>
      <c r="B1999" s="0">
        <f>HYPERLINK("https://dl.dropboxusercontent.com/scl/fi/3on8pe36po55dqzm9v1q3/graphic-update22022-infant.jpg?rlkey=y1abenjbb60c69tk55lg2u96f&amp;dl=0","Click to download SizeChart")</f>
      </c>
      <c r="C1999" s="0" t="inlineStr">
        <is>
          <t>Morrissey Infant Bodysuit</t>
        </is>
      </c>
      <c r="D1999" s="1">
        <v>113456</v>
      </c>
      <c r="E1999" s="0" t="inlineStr">
        <is>
          <t>IOWA MORRISSEY I WHITE:113456C-6-9M</t>
        </is>
      </c>
      <c r="F1999" s="2">
        <v>800113456028</v>
      </c>
      <c r="G1999" s="0" t="inlineStr">
        <is>
          <t>INFANT</t>
        </is>
      </c>
      <c r="H1999" s="0" t="inlineStr">
        <is>
          <t>6-9M</t>
        </is>
      </c>
      <c r="I1999" s="0">
        <v>32.99</v>
      </c>
      <c r="J1999" s="0">
        <v>11</v>
      </c>
    </row>
    <row r="2000" spans="1:10" customHeight="0">
      <c r="A2000" s="0">
        <f>HYPERLINK("https://dl.dropboxusercontent.com/scl/fi/h7kjnd3ou6uf6dmvhdsuz/113456-f1.jpg?rlkey=jnobwvinalow5h0z9uj0fb4l7&amp;dl=0","Click to download Image")</f>
      </c>
      <c r="B2000" s="0">
        <f>HYPERLINK("https://dl.dropboxusercontent.com/scl/fi/3on8pe36po55dqzm9v1q3/graphic-update22022-infant.jpg?rlkey=y1abenjbb60c69tk55lg2u96f&amp;dl=0","Click to download SizeChart")</f>
      </c>
      <c r="C2000" s="0" t="inlineStr">
        <is>
          <t>Morrissey Infant Bodysuit</t>
        </is>
      </c>
      <c r="D2000" s="1">
        <v>113456</v>
      </c>
      <c r="E2000" s="0" t="inlineStr">
        <is>
          <t>IOWA MORRISSEY I WHITE:113456F-12M</t>
        </is>
      </c>
      <c r="F2000" s="2">
        <v>800113456035</v>
      </c>
      <c r="G2000" s="0" t="inlineStr">
        <is>
          <t>INFANT</t>
        </is>
      </c>
      <c r="H2000" s="0" t="inlineStr">
        <is>
          <t>12M</t>
        </is>
      </c>
      <c r="I2000" s="0">
        <v>32.99</v>
      </c>
      <c r="J2000" s="0">
        <v>7</v>
      </c>
    </row>
    <row r="2001" spans="1:10" customHeight="0">
      <c r="A2001" s="0">
        <f>HYPERLINK("https://dl.dropboxusercontent.com/scl/fi/h7kjnd3ou6uf6dmvhdsuz/113456-f1.jpg?rlkey=jnobwvinalow5h0z9uj0fb4l7&amp;dl=0","Click to download Image")</f>
      </c>
      <c r="B2001" s="0">
        <f>HYPERLINK("https://dl.dropboxusercontent.com/scl/fi/3on8pe36po55dqzm9v1q3/graphic-update22022-infant.jpg?rlkey=y1abenjbb60c69tk55lg2u96f&amp;dl=0","Click to download SizeChart")</f>
      </c>
      <c r="C2001" s="0" t="inlineStr">
        <is>
          <t>Morrissey Infant Bodysuit</t>
        </is>
      </c>
      <c r="D2001" s="1">
        <v>113456</v>
      </c>
      <c r="E2001" s="0" t="inlineStr">
        <is>
          <t>IOWA MORRISSEY I WHITE 12 PACK:113456Z-12PK</t>
        </is>
      </c>
      <c r="F2001" s="2">
        <v>800113456998</v>
      </c>
      <c r="G2001" s="0" t="inlineStr">
        <is>
          <t>INFANT</t>
        </is>
      </c>
      <c r="H2001" s="0" t="inlineStr">
        <is>
          <t>12 PACK</t>
        </is>
      </c>
      <c r="I2001" s="0">
        <v>320</v>
      </c>
      <c r="J2001" s="0">
        <v>0</v>
      </c>
    </row>
    <row r="2002" spans="1:10" customHeight="0">
      <c r="A2002" s="0">
        <f>HYPERLINK("https://dl.dropboxusercontent.com/scl/fi/k1d8chvstyvega8u35vd4/112835f.jpg?rlkey=n5eqdk8q8jpi6o2k43xa1qbhm&amp;dl=0","Click to download Image")</f>
      </c>
      <c r="B2002" s="0">
        <f>HYPERLINK("https://dl.dropboxusercontent.com/scl/fi/k4pprgksg76fhedfdx847/womens-hoodie-and-sweatshirt-size-chartsrory.jpg?rlkey=h2tncb4kvwple7j1h8oun6u0n&amp;dl=0","Click to download SizeChart")</f>
      </c>
      <c r="C2002" s="0" t="inlineStr">
        <is>
          <t>Rory Women's Pullover</t>
        </is>
      </c>
      <c r="D2002" s="1">
        <v>112835</v>
      </c>
      <c r="E2002" s="0" t="inlineStr">
        <is>
          <t>IOWA RORY W BLACK:112835A-S</t>
        </is>
      </c>
      <c r="F2002" s="2">
        <v>800112835046</v>
      </c>
      <c r="G2002" s="0" t="inlineStr">
        <is>
          <t>WOMENS</t>
        </is>
      </c>
      <c r="H2002" s="0" t="inlineStr">
        <is>
          <t>S</t>
        </is>
      </c>
      <c r="I2002" s="0">
        <v>42.99</v>
      </c>
      <c r="J2002" s="0">
        <v>0</v>
      </c>
    </row>
    <row r="2003" spans="1:10" customHeight="0">
      <c r="A2003" s="0">
        <f>HYPERLINK("https://dl.dropboxusercontent.com/scl/fi/k1d8chvstyvega8u35vd4/112835f.jpg?rlkey=n5eqdk8q8jpi6o2k43xa1qbhm&amp;dl=0","Click to download Image")</f>
      </c>
      <c r="B2003" s="0">
        <f>HYPERLINK("https://dl.dropboxusercontent.com/scl/fi/k4pprgksg76fhedfdx847/womens-hoodie-and-sweatshirt-size-chartsrory.jpg?rlkey=h2tncb4kvwple7j1h8oun6u0n&amp;dl=0","Click to download SizeChart")</f>
      </c>
      <c r="C2003" s="0" t="inlineStr">
        <is>
          <t>Rory Women's Pullover</t>
        </is>
      </c>
      <c r="D2003" s="1">
        <v>112835</v>
      </c>
      <c r="E2003" s="0" t="inlineStr">
        <is>
          <t>IOWA RORY W BLACK:112835B-M</t>
        </is>
      </c>
      <c r="F2003" s="2">
        <v>800112835053</v>
      </c>
      <c r="G2003" s="0" t="inlineStr">
        <is>
          <t>WOMENS</t>
        </is>
      </c>
      <c r="H2003" s="0" t="inlineStr">
        <is>
          <t>M</t>
        </is>
      </c>
      <c r="I2003" s="0">
        <v>42.99</v>
      </c>
      <c r="J2003" s="0">
        <v>7</v>
      </c>
    </row>
    <row r="2004" spans="1:10" customHeight="0">
      <c r="A2004" s="0">
        <f>HYPERLINK("https://dl.dropboxusercontent.com/scl/fi/k1d8chvstyvega8u35vd4/112835f.jpg?rlkey=n5eqdk8q8jpi6o2k43xa1qbhm&amp;dl=0","Click to download Image")</f>
      </c>
      <c r="B2004" s="0">
        <f>HYPERLINK("https://dl.dropboxusercontent.com/scl/fi/k4pprgksg76fhedfdx847/womens-hoodie-and-sweatshirt-size-chartsrory.jpg?rlkey=h2tncb4kvwple7j1h8oun6u0n&amp;dl=0","Click to download SizeChart")</f>
      </c>
      <c r="C2004" s="0" t="inlineStr">
        <is>
          <t>Rory Women's Pullover</t>
        </is>
      </c>
      <c r="D2004" s="1">
        <v>112835</v>
      </c>
      <c r="E2004" s="0" t="inlineStr">
        <is>
          <t>IOWA RORY W BLACK:112835C-L</t>
        </is>
      </c>
      <c r="F2004" s="2">
        <v>800112835060</v>
      </c>
      <c r="G2004" s="0" t="inlineStr">
        <is>
          <t>WOMENS</t>
        </is>
      </c>
      <c r="H2004" s="0" t="inlineStr">
        <is>
          <t>L</t>
        </is>
      </c>
      <c r="I2004" s="0">
        <v>42.99</v>
      </c>
      <c r="J2004" s="0">
        <v>0</v>
      </c>
    </row>
    <row r="2005" spans="1:10" customHeight="0">
      <c r="A2005" s="0">
        <f>HYPERLINK("https://dl.dropboxusercontent.com/scl/fi/k1d8chvstyvega8u35vd4/112835f.jpg?rlkey=n5eqdk8q8jpi6o2k43xa1qbhm&amp;dl=0","Click to download Image")</f>
      </c>
      <c r="B2005" s="0">
        <f>HYPERLINK("https://dl.dropboxusercontent.com/scl/fi/k4pprgksg76fhedfdx847/womens-hoodie-and-sweatshirt-size-chartsrory.jpg?rlkey=h2tncb4kvwple7j1h8oun6u0n&amp;dl=0","Click to download SizeChart")</f>
      </c>
      <c r="C2005" s="0" t="inlineStr">
        <is>
          <t>Rory Women's Pullover</t>
        </is>
      </c>
      <c r="D2005" s="1">
        <v>112835</v>
      </c>
      <c r="E2005" s="0" t="inlineStr">
        <is>
          <t>IOWA RORY W BLACK:112835D-XL</t>
        </is>
      </c>
      <c r="F2005" s="2">
        <v>800112835077</v>
      </c>
      <c r="G2005" s="0" t="inlineStr">
        <is>
          <t>WOMENS</t>
        </is>
      </c>
      <c r="H2005" s="0" t="inlineStr">
        <is>
          <t>XL</t>
        </is>
      </c>
      <c r="I2005" s="0">
        <v>42.99</v>
      </c>
      <c r="J2005" s="0">
        <v>0</v>
      </c>
    </row>
    <row r="2006" spans="1:10" customHeight="0">
      <c r="A2006" s="0">
        <f>HYPERLINK("https://dl.dropboxusercontent.com/scl/fi/k1d8chvstyvega8u35vd4/112835f.jpg?rlkey=n5eqdk8q8jpi6o2k43xa1qbhm&amp;dl=0","Click to download Image")</f>
      </c>
      <c r="B2006" s="0">
        <f>HYPERLINK("https://dl.dropboxusercontent.com/scl/fi/k4pprgksg76fhedfdx847/womens-hoodie-and-sweatshirt-size-chartsrory.jpg?rlkey=h2tncb4kvwple7j1h8oun6u0n&amp;dl=0","Click to download SizeChart")</f>
      </c>
      <c r="C2006" s="0" t="inlineStr">
        <is>
          <t>Rory Women's Pullover</t>
        </is>
      </c>
      <c r="D2006" s="1">
        <v>112835</v>
      </c>
      <c r="E2006" s="0" t="inlineStr">
        <is>
          <t>IOWA RORY W BLACK:112835E-2XL</t>
        </is>
      </c>
      <c r="F2006" s="2">
        <v>800112835084</v>
      </c>
      <c r="G2006" s="0" t="inlineStr">
        <is>
          <t>WOMENS</t>
        </is>
      </c>
      <c r="H2006" s="0" t="inlineStr">
        <is>
          <t>2XL</t>
        </is>
      </c>
      <c r="I2006" s="0">
        <v>44.99</v>
      </c>
      <c r="J2006" s="0">
        <v>0</v>
      </c>
    </row>
    <row r="2007" spans="1:10" customHeight="0">
      <c r="A2007" s="0">
        <f>HYPERLINK("https://dl.dropboxusercontent.com/scl/fi/k1d8chvstyvega8u35vd4/112835f.jpg?rlkey=n5eqdk8q8jpi6o2k43xa1qbhm&amp;dl=0","Click to download Image")</f>
      </c>
      <c r="B2007" s="0">
        <f>HYPERLINK("https://dl.dropboxusercontent.com/scl/fi/k4pprgksg76fhedfdx847/womens-hoodie-and-sweatshirt-size-chartsrory.jpg?rlkey=h2tncb4kvwple7j1h8oun6u0n&amp;dl=0","Click to download SizeChart")</f>
      </c>
      <c r="C2007" s="0" t="inlineStr">
        <is>
          <t>Rory Women's Pullover</t>
        </is>
      </c>
      <c r="D2007" s="1">
        <v>112835</v>
      </c>
      <c r="E2007" s="0" t="inlineStr">
        <is>
          <t>IOWA RORY W BLACK:112835F-3XL</t>
        </is>
      </c>
      <c r="F2007" s="2">
        <v>800112835091</v>
      </c>
      <c r="G2007" s="0" t="inlineStr">
        <is>
          <t>WOMENS</t>
        </is>
      </c>
      <c r="H2007" s="0" t="inlineStr">
        <is>
          <t>3XL</t>
        </is>
      </c>
      <c r="I2007" s="0">
        <v>44.99</v>
      </c>
      <c r="J2007" s="0">
        <v>0</v>
      </c>
    </row>
    <row r="2008" spans="1:10" customHeight="0">
      <c r="A2008" s="0">
        <f>HYPERLINK("https://dl.dropboxusercontent.com/scl/fi/k1d8chvstyvega8u35vd4/112835f.jpg?rlkey=n5eqdk8q8jpi6o2k43xa1qbhm&amp;dl=0","Click to download Image")</f>
      </c>
      <c r="B2008" s="0">
        <f>HYPERLINK("https://dl.dropboxusercontent.com/scl/fi/k4pprgksg76fhedfdx847/womens-hoodie-and-sweatshirt-size-chartsrory.jpg?rlkey=h2tncb4kvwple7j1h8oun6u0n&amp;dl=0","Click to download SizeChart")</f>
      </c>
      <c r="C2008" s="0" t="inlineStr">
        <is>
          <t>Rory Women's Pullover</t>
        </is>
      </c>
      <c r="D2008" s="1">
        <v>112835</v>
      </c>
      <c r="E2008" s="0" t="inlineStr">
        <is>
          <t>IOWA RORY W BLACK 12 PACK:112835Z-12PK</t>
        </is>
      </c>
      <c r="F2008" s="2">
        <v>800112835992</v>
      </c>
      <c r="G2008" s="0" t="inlineStr">
        <is>
          <t>WOMENS</t>
        </is>
      </c>
      <c r="H2008" s="0" t="inlineStr">
        <is>
          <t>12 PACK</t>
        </is>
      </c>
      <c r="I2008" s="0">
        <v>420</v>
      </c>
      <c r="J2008" s="0">
        <v>0</v>
      </c>
    </row>
    <row r="2009" spans="1:10" customHeight="0">
      <c r="A2009" s="0">
        <f>HYPERLINK("https://dl.dropboxusercontent.com/scl/fi/upk9nyyn8uvaampnvhswn/finaldsc192348050.jpg?rlkey=5wpoj02nil5bq0z8ydd5zje8g&amp;dl=0","Click to download Image")</f>
      </c>
      <c r="B2009" s="0">
        <f>HYPERLINK("https://dl.dropboxusercontent.com/scl/fi/tgm0dhfjeec72bkvkin03/graphic-update2022-womens.jpg?rlkey=7plynrytzb6elq7h9cxrwpv30&amp;dl=0","Click to download SizeChart")</f>
      </c>
      <c r="C2009" s="0" t="inlineStr">
        <is>
          <t>Alexandria Women's Hoodie</t>
        </is>
      </c>
      <c r="D2009" s="1">
        <v>106786</v>
      </c>
      <c r="E2009" s="0" t="inlineStr">
        <is>
          <t>IA ALEXANDRIA:106786AA-XS</t>
        </is>
      </c>
      <c r="F2009" s="2">
        <v>800106786002</v>
      </c>
      <c r="G2009" s="0" t="inlineStr">
        <is>
          <t>WOMENS</t>
        </is>
      </c>
      <c r="H2009" s="0" t="inlineStr">
        <is>
          <t>XS</t>
        </is>
      </c>
      <c r="I2009" s="0">
        <v>42.99</v>
      </c>
      <c r="J2009" s="0">
        <v>41</v>
      </c>
    </row>
    <row r="2010" spans="1:10" customHeight="0">
      <c r="A2010" s="0">
        <f>HYPERLINK("https://dl.dropboxusercontent.com/scl/fi/upk9nyyn8uvaampnvhswn/finaldsc192348050.jpg?rlkey=5wpoj02nil5bq0z8ydd5zje8g&amp;dl=0","Click to download Image")</f>
      </c>
      <c r="B2010" s="0">
        <f>HYPERLINK("https://dl.dropboxusercontent.com/scl/fi/tgm0dhfjeec72bkvkin03/graphic-update2022-womens.jpg?rlkey=7plynrytzb6elq7h9cxrwpv30&amp;dl=0","Click to download SizeChart")</f>
      </c>
      <c r="C2010" s="0" t="inlineStr">
        <is>
          <t>Alexandria Women's Hoodie</t>
        </is>
      </c>
      <c r="D2010" s="1">
        <v>106786</v>
      </c>
      <c r="E2010" s="0" t="inlineStr">
        <is>
          <t>IA ALEXANDRIA:106786A-S</t>
        </is>
      </c>
      <c r="F2010" s="2">
        <v>800106786019</v>
      </c>
      <c r="G2010" s="0" t="inlineStr">
        <is>
          <t>WOMENS</t>
        </is>
      </c>
      <c r="H2010" s="0" t="inlineStr">
        <is>
          <t>S</t>
        </is>
      </c>
      <c r="I2010" s="0">
        <v>42.99</v>
      </c>
      <c r="J2010" s="0">
        <v>57</v>
      </c>
    </row>
    <row r="2011" spans="1:10" customHeight="0">
      <c r="A2011" s="0">
        <f>HYPERLINK("https://dl.dropboxusercontent.com/scl/fi/upk9nyyn8uvaampnvhswn/finaldsc192348050.jpg?rlkey=5wpoj02nil5bq0z8ydd5zje8g&amp;dl=0","Click to download Image")</f>
      </c>
      <c r="B2011" s="0">
        <f>HYPERLINK("https://dl.dropboxusercontent.com/scl/fi/tgm0dhfjeec72bkvkin03/graphic-update2022-womens.jpg?rlkey=7plynrytzb6elq7h9cxrwpv30&amp;dl=0","Click to download SizeChart")</f>
      </c>
      <c r="C2011" s="0" t="inlineStr">
        <is>
          <t>Alexandria Women's Hoodie</t>
        </is>
      </c>
      <c r="D2011" s="1">
        <v>106786</v>
      </c>
      <c r="E2011" s="0" t="inlineStr">
        <is>
          <t>IA ALEXANDRIA:106786B-M</t>
        </is>
      </c>
      <c r="F2011" s="2">
        <v>800106786026</v>
      </c>
      <c r="G2011" s="0" t="inlineStr">
        <is>
          <t>WOMENS</t>
        </is>
      </c>
      <c r="H2011" s="0" t="inlineStr">
        <is>
          <t>M</t>
        </is>
      </c>
      <c r="I2011" s="0">
        <v>42.99</v>
      </c>
      <c r="J2011" s="0">
        <v>61</v>
      </c>
    </row>
    <row r="2012" spans="1:10" customHeight="0">
      <c r="A2012" s="0">
        <f>HYPERLINK("https://dl.dropboxusercontent.com/scl/fi/upk9nyyn8uvaampnvhswn/finaldsc192348050.jpg?rlkey=5wpoj02nil5bq0z8ydd5zje8g&amp;dl=0","Click to download Image")</f>
      </c>
      <c r="B2012" s="0">
        <f>HYPERLINK("https://dl.dropboxusercontent.com/scl/fi/tgm0dhfjeec72bkvkin03/graphic-update2022-womens.jpg?rlkey=7plynrytzb6elq7h9cxrwpv30&amp;dl=0","Click to download SizeChart")</f>
      </c>
      <c r="C2012" s="0" t="inlineStr">
        <is>
          <t>Alexandria Women's Hoodie</t>
        </is>
      </c>
      <c r="D2012" s="1">
        <v>106786</v>
      </c>
      <c r="E2012" s="0" t="inlineStr">
        <is>
          <t>IA ALEXANDRIA:106786C-L</t>
        </is>
      </c>
      <c r="F2012" s="2">
        <v>800106786033</v>
      </c>
      <c r="G2012" s="0" t="inlineStr">
        <is>
          <t>WOMENS</t>
        </is>
      </c>
      <c r="H2012" s="0" t="inlineStr">
        <is>
          <t>L</t>
        </is>
      </c>
      <c r="I2012" s="0">
        <v>42.99</v>
      </c>
      <c r="J2012" s="0">
        <v>32</v>
      </c>
    </row>
    <row r="2013" spans="1:10" customHeight="0">
      <c r="A2013" s="0">
        <f>HYPERLINK("https://dl.dropboxusercontent.com/scl/fi/upk9nyyn8uvaampnvhswn/finaldsc192348050.jpg?rlkey=5wpoj02nil5bq0z8ydd5zje8g&amp;dl=0","Click to download Image")</f>
      </c>
      <c r="B2013" s="0">
        <f>HYPERLINK("https://dl.dropboxusercontent.com/scl/fi/tgm0dhfjeec72bkvkin03/graphic-update2022-womens.jpg?rlkey=7plynrytzb6elq7h9cxrwpv30&amp;dl=0","Click to download SizeChart")</f>
      </c>
      <c r="C2013" s="0" t="inlineStr">
        <is>
          <t>Alexandria Women's Hoodie</t>
        </is>
      </c>
      <c r="D2013" s="1">
        <v>106786</v>
      </c>
      <c r="E2013" s="0" t="inlineStr">
        <is>
          <t>IA ALEXANDRIA:106786D-XL</t>
        </is>
      </c>
      <c r="F2013" s="2">
        <v>800106786040</v>
      </c>
      <c r="G2013" s="0" t="inlineStr">
        <is>
          <t>WOMENS</t>
        </is>
      </c>
      <c r="H2013" s="0" t="inlineStr">
        <is>
          <t>XL</t>
        </is>
      </c>
      <c r="I2013" s="0">
        <v>42.99</v>
      </c>
      <c r="J2013" s="0">
        <v>2</v>
      </c>
    </row>
    <row r="2014" spans="1:10" customHeight="0">
      <c r="A2014" s="0">
        <f>HYPERLINK("https://dl.dropboxusercontent.com/scl/fi/9lppxt4lup1s1vfg2l4ao/106946-af.jpg?rlkey=kjqa0ybtipbvnprbwr2b2b76y&amp;dl=0","Click to download Image")</f>
      </c>
      <c r="B2014" s="0">
        <f>HYPERLINK("https://dl.dropboxusercontent.com/scl/fi/hb3stzrw74qlw7oa336jb/womens-t-shirt-size-chartsaelia.jpg?rlkey=jir6so96cxzricxlfka7o5xiu&amp;dl=0","Click to download SizeChart")</f>
      </c>
      <c r="C2014" s="0" t="inlineStr">
        <is>
          <t>Aelia Women's Long Sleeve</t>
        </is>
      </c>
      <c r="D2014" s="1">
        <v>106946</v>
      </c>
      <c r="E2014" s="0" t="inlineStr">
        <is>
          <t>IA AELIA:106946A-S</t>
        </is>
      </c>
      <c r="F2014" s="2">
        <v>800106946017</v>
      </c>
      <c r="G2014" s="0" t="inlineStr">
        <is>
          <t>WOMENS</t>
        </is>
      </c>
      <c r="H2014" s="0" t="inlineStr">
        <is>
          <t>S</t>
        </is>
      </c>
      <c r="I2014" s="0">
        <v>39.99</v>
      </c>
      <c r="J2014" s="0">
        <v>8</v>
      </c>
    </row>
    <row r="2015" spans="1:10" customHeight="0">
      <c r="A2015" s="0">
        <f>HYPERLINK("https://dl.dropboxusercontent.com/scl/fi/9lppxt4lup1s1vfg2l4ao/106946-af.jpg?rlkey=kjqa0ybtipbvnprbwr2b2b76y&amp;dl=0","Click to download Image")</f>
      </c>
      <c r="B2015" s="0">
        <f>HYPERLINK("https://dl.dropboxusercontent.com/scl/fi/hb3stzrw74qlw7oa336jb/womens-t-shirt-size-chartsaelia.jpg?rlkey=jir6so96cxzricxlfka7o5xiu&amp;dl=0","Click to download SizeChart")</f>
      </c>
      <c r="C2015" s="0" t="inlineStr">
        <is>
          <t>Aelia Women's Long Sleeve</t>
        </is>
      </c>
      <c r="D2015" s="1">
        <v>106946</v>
      </c>
      <c r="E2015" s="0" t="inlineStr">
        <is>
          <t>IA AELIA:106946B-M</t>
        </is>
      </c>
      <c r="F2015" s="2">
        <v>800106946024</v>
      </c>
      <c r="G2015" s="0" t="inlineStr">
        <is>
          <t>WOMENS</t>
        </is>
      </c>
      <c r="H2015" s="0" t="inlineStr">
        <is>
          <t>M</t>
        </is>
      </c>
      <c r="I2015" s="0">
        <v>39.99</v>
      </c>
      <c r="J2015" s="0">
        <v>46</v>
      </c>
    </row>
    <row r="2016" spans="1:10" customHeight="0">
      <c r="A2016" s="0">
        <f>HYPERLINK("https://dl.dropboxusercontent.com/scl/fi/9lppxt4lup1s1vfg2l4ao/106946-af.jpg?rlkey=kjqa0ybtipbvnprbwr2b2b76y&amp;dl=0","Click to download Image")</f>
      </c>
      <c r="B2016" s="0">
        <f>HYPERLINK("https://dl.dropboxusercontent.com/scl/fi/hb3stzrw74qlw7oa336jb/womens-t-shirt-size-chartsaelia.jpg?rlkey=jir6so96cxzricxlfka7o5xiu&amp;dl=0","Click to download SizeChart")</f>
      </c>
      <c r="C2016" s="0" t="inlineStr">
        <is>
          <t>Aelia Women's Long Sleeve</t>
        </is>
      </c>
      <c r="D2016" s="1">
        <v>106946</v>
      </c>
      <c r="E2016" s="0" t="inlineStr">
        <is>
          <t>IA AELIA:106946C-L</t>
        </is>
      </c>
      <c r="F2016" s="2">
        <v>800106946031</v>
      </c>
      <c r="G2016" s="0" t="inlineStr">
        <is>
          <t>WOMENS</t>
        </is>
      </c>
      <c r="H2016" s="0" t="inlineStr">
        <is>
          <t>L</t>
        </is>
      </c>
      <c r="I2016" s="0">
        <v>39.99</v>
      </c>
      <c r="J2016" s="0">
        <v>44</v>
      </c>
    </row>
    <row r="2017" spans="1:10" customHeight="0">
      <c r="A2017" s="0">
        <f>HYPERLINK("https://dl.dropboxusercontent.com/scl/fi/9lppxt4lup1s1vfg2l4ao/106946-af.jpg?rlkey=kjqa0ybtipbvnprbwr2b2b76y&amp;dl=0","Click to download Image")</f>
      </c>
      <c r="B2017" s="0">
        <f>HYPERLINK("https://dl.dropboxusercontent.com/scl/fi/hb3stzrw74qlw7oa336jb/womens-t-shirt-size-chartsaelia.jpg?rlkey=jir6so96cxzricxlfka7o5xiu&amp;dl=0","Click to download SizeChart")</f>
      </c>
      <c r="C2017" s="0" t="inlineStr">
        <is>
          <t>Aelia Women's Long Sleeve</t>
        </is>
      </c>
      <c r="D2017" s="1">
        <v>106946</v>
      </c>
      <c r="E2017" s="0" t="inlineStr">
        <is>
          <t>IA AELIA:106946D-XL</t>
        </is>
      </c>
      <c r="F2017" s="2">
        <v>800106946048</v>
      </c>
      <c r="G2017" s="0" t="inlineStr">
        <is>
          <t>WOMENS</t>
        </is>
      </c>
      <c r="H2017" s="0" t="inlineStr">
        <is>
          <t>XL</t>
        </is>
      </c>
      <c r="I2017" s="0">
        <v>39.99</v>
      </c>
      <c r="J2017" s="0">
        <v>5</v>
      </c>
    </row>
    <row r="2018" spans="1:10" customHeight="0">
      <c r="A2018" s="0">
        <f>HYPERLINK("https://dl.dropboxusercontent.com/scl/fi/9lppxt4lup1s1vfg2l4ao/106946-af.jpg?rlkey=kjqa0ybtipbvnprbwr2b2b76y&amp;dl=0","Click to download Image")</f>
      </c>
      <c r="B2018" s="0">
        <f>HYPERLINK("https://dl.dropboxusercontent.com/scl/fi/hb3stzrw74qlw7oa336jb/womens-t-shirt-size-chartsaelia.jpg?rlkey=jir6so96cxzricxlfka7o5xiu&amp;dl=0","Click to download SizeChart")</f>
      </c>
      <c r="C2018" s="0" t="inlineStr">
        <is>
          <t>Aelia Women's Long Sleeve</t>
        </is>
      </c>
      <c r="D2018" s="1">
        <v>106946</v>
      </c>
      <c r="E2018" s="0" t="inlineStr">
        <is>
          <t>IA AELIA:106946E-2XL</t>
        </is>
      </c>
      <c r="F2018" s="2">
        <v>800106946055</v>
      </c>
      <c r="G2018" s="0" t="inlineStr">
        <is>
          <t>WOMENS</t>
        </is>
      </c>
      <c r="H2018" s="0" t="inlineStr">
        <is>
          <t>2XL</t>
        </is>
      </c>
      <c r="I2018" s="0">
        <v>39.99</v>
      </c>
      <c r="J2018" s="0">
        <v>0</v>
      </c>
    </row>
    <row r="2019" spans="1:10" customHeight="0">
      <c r="A2019" s="0">
        <f>HYPERLINK("https://dl.dropboxusercontent.com/scl/fi/9lppxt4lup1s1vfg2l4ao/106946-af.jpg?rlkey=kjqa0ybtipbvnprbwr2b2b76y&amp;dl=0","Click to download Image")</f>
      </c>
      <c r="B2019" s="0">
        <f>HYPERLINK("https://dl.dropboxusercontent.com/scl/fi/hb3stzrw74qlw7oa336jb/womens-t-shirt-size-chartsaelia.jpg?rlkey=jir6so96cxzricxlfka7o5xiu&amp;dl=0","Click to download SizeChart")</f>
      </c>
      <c r="C2019" s="0" t="inlineStr">
        <is>
          <t>Aelia Women's Long Sleeve</t>
        </is>
      </c>
      <c r="D2019" s="1">
        <v>106946</v>
      </c>
      <c r="E2019" s="0" t="inlineStr">
        <is>
          <t>IA AELIA:106946F-3XL</t>
        </is>
      </c>
      <c r="F2019" s="2">
        <v>800106946062</v>
      </c>
      <c r="G2019" s="0" t="inlineStr">
        <is>
          <t>WOMENS</t>
        </is>
      </c>
      <c r="H2019" s="0" t="inlineStr">
        <is>
          <t>3XL</t>
        </is>
      </c>
      <c r="I2019" s="0">
        <v>39.99</v>
      </c>
      <c r="J2019" s="0">
        <v>3</v>
      </c>
    </row>
    <row r="2020" spans="1:10" customHeight="0">
      <c r="A2020" s="0">
        <f>HYPERLINK("https://dl.dropboxusercontent.com/scl/fi/33av8skyukm2tzwx83sqz/109678-af.jpg?rlkey=9nok11dxhnazggcb7loczb4au&amp;dl=0","Click to download Image")</f>
      </c>
      <c r="C2020" s="0" t="inlineStr">
        <is>
          <t>Atlanta Youth Cap</t>
        </is>
      </c>
      <c r="D2020" s="1">
        <v>109678</v>
      </c>
      <c r="E2020" s="0" t="inlineStr">
        <is>
          <t>IOWA ATLANTA:109678</t>
        </is>
      </c>
      <c r="F2020" s="2">
        <v>700109678017</v>
      </c>
      <c r="G2020" s="0" t="inlineStr">
        <is>
          <t>YOUTH</t>
        </is>
      </c>
      <c r="H2020" s="0" t="inlineStr">
        <is>
          <t>YOUTH</t>
        </is>
      </c>
      <c r="I2020" s="0">
        <v>18.99</v>
      </c>
      <c r="J2020" s="0">
        <v>20</v>
      </c>
    </row>
    <row r="2021" spans="1:10" customHeight="0">
      <c r="A2021" s="0">
        <f>HYPERLINK("https://dl.dropboxusercontent.com/scl/fi/u3nhad64xbfhntaw6ygrj/105587f08207.jpg?rlkey=j81x26rebt57yxubfgtsf6c28&amp;dl=0","Click to download Image")</f>
      </c>
      <c r="B2021" s="0">
        <f>HYPERLINK("https://dl.dropboxusercontent.com/scl/fi/8l3tuhj12v8gf3z6wes0z/graphic-update22022-infant.jpg?rlkey=tmcuut2kh27kvk7fbx512uhoi&amp;dl=0","Click to download SizeChart")</f>
      </c>
      <c r="C2021" s="0" t="inlineStr">
        <is>
          <t>Ralston Infant Polo</t>
        </is>
      </c>
      <c r="D2021" s="1">
        <v>105345</v>
      </c>
      <c r="E2021" s="0" t="inlineStr">
        <is>
          <t>RALSTON:105345A - 0-3M</t>
        </is>
      </c>
      <c r="G2021" s="0" t="inlineStr">
        <is>
          <t>INFANT</t>
        </is>
      </c>
      <c r="H2021" s="0" t="inlineStr">
        <is>
          <t>0-3M</t>
        </is>
      </c>
      <c r="I2021" s="0">
        <v>19.99</v>
      </c>
      <c r="J2021" s="0">
        <v>51</v>
      </c>
    </row>
    <row r="2022" spans="1:10" customHeight="0">
      <c r="A2022" s="0">
        <f>HYPERLINK("https://dl.dropboxusercontent.com/scl/fi/u3nhad64xbfhntaw6ygrj/105587f08207.jpg?rlkey=j81x26rebt57yxubfgtsf6c28&amp;dl=0","Click to download Image")</f>
      </c>
      <c r="B2022" s="0">
        <f>HYPERLINK("https://dl.dropboxusercontent.com/scl/fi/8l3tuhj12v8gf3z6wes0z/graphic-update22022-infant.jpg?rlkey=tmcuut2kh27kvk7fbx512uhoi&amp;dl=0","Click to download SizeChart")</f>
      </c>
      <c r="C2022" s="0" t="inlineStr">
        <is>
          <t>Ralston Infant Polo</t>
        </is>
      </c>
      <c r="D2022" s="1">
        <v>105345</v>
      </c>
      <c r="E2022" s="0" t="inlineStr">
        <is>
          <t>RALSTON:105345B - 3-6M</t>
        </is>
      </c>
      <c r="G2022" s="0" t="inlineStr">
        <is>
          <t>INFANT</t>
        </is>
      </c>
      <c r="H2022" s="0" t="inlineStr">
        <is>
          <t>3-6M</t>
        </is>
      </c>
      <c r="I2022" s="0">
        <v>19.99</v>
      </c>
      <c r="J2022" s="0">
        <v>40</v>
      </c>
    </row>
    <row r="2023" spans="1:10" customHeight="0">
      <c r="A2023" s="0">
        <f>HYPERLINK("https://dl.dropboxusercontent.com/scl/fi/u3nhad64xbfhntaw6ygrj/105587f08207.jpg?rlkey=j81x26rebt57yxubfgtsf6c28&amp;dl=0","Click to download Image")</f>
      </c>
      <c r="B2023" s="0">
        <f>HYPERLINK("https://dl.dropboxusercontent.com/scl/fi/8l3tuhj12v8gf3z6wes0z/graphic-update22022-infant.jpg?rlkey=tmcuut2kh27kvk7fbx512uhoi&amp;dl=0","Click to download SizeChart")</f>
      </c>
      <c r="C2023" s="0" t="inlineStr">
        <is>
          <t>Ralston Infant Polo</t>
        </is>
      </c>
      <c r="D2023" s="1">
        <v>105345</v>
      </c>
      <c r="E2023" s="0" t="inlineStr">
        <is>
          <t>RALSTON:105345C - 6-9M</t>
        </is>
      </c>
      <c r="G2023" s="0" t="inlineStr">
        <is>
          <t>INFANT</t>
        </is>
      </c>
      <c r="H2023" s="0" t="inlineStr">
        <is>
          <t>6-9M</t>
        </is>
      </c>
      <c r="I2023" s="0">
        <v>19.99</v>
      </c>
      <c r="J2023" s="0">
        <v>41</v>
      </c>
    </row>
    <row r="2024" spans="1:10" customHeight="0">
      <c r="A2024" s="0">
        <f>HYPERLINK("https://dl.dropboxusercontent.com/scl/fi/u3nhad64xbfhntaw6ygrj/105587f08207.jpg?rlkey=j81x26rebt57yxubfgtsf6c28&amp;dl=0","Click to download Image")</f>
      </c>
      <c r="B2024" s="0">
        <f>HYPERLINK("https://dl.dropboxusercontent.com/scl/fi/8l3tuhj12v8gf3z6wes0z/graphic-update22022-infant.jpg?rlkey=tmcuut2kh27kvk7fbx512uhoi&amp;dl=0","Click to download SizeChart")</f>
      </c>
      <c r="C2024" s="0" t="inlineStr">
        <is>
          <t>Ralston Infant Polo</t>
        </is>
      </c>
      <c r="D2024" s="1">
        <v>105345</v>
      </c>
      <c r="E2024" s="0" t="inlineStr">
        <is>
          <t>RALSTON:105345D - 12M</t>
        </is>
      </c>
      <c r="G2024" s="0" t="inlineStr">
        <is>
          <t>INFANT</t>
        </is>
      </c>
      <c r="H2024" s="0" t="inlineStr">
        <is>
          <t>12M</t>
        </is>
      </c>
      <c r="I2024" s="0">
        <v>19.99</v>
      </c>
      <c r="J2024" s="0">
        <v>40</v>
      </c>
    </row>
    <row r="2025" spans="1:10" customHeight="0">
      <c r="A2025" s="0">
        <f>HYPERLINK("https://dl.dropboxusercontent.com/scl/fi/6waq6m9wl3yh5g6xvok18/109809-af.jpg?rlkey=gtmqe3t389jb153b0f78rvqi0&amp;dl=0","Click to download Image")</f>
      </c>
      <c r="B2025" s="0">
        <f>HYPERLINK("https://dl.dropboxusercontent.com/scl/fi/gu6u7jqhv2uwdtl6f0zih/graphic-update22022-toddler.jpg?rlkey=ntiyq03pa3q0xeyvglg0zjhi1&amp;dl=0","Click to download SizeChart")</f>
      </c>
      <c r="C2025" s="0" t="inlineStr">
        <is>
          <t>Westerly Henley Toddler T-Shirt</t>
        </is>
      </c>
      <c r="D2025" s="1">
        <v>109809</v>
      </c>
      <c r="E2025" s="0" t="inlineStr">
        <is>
          <t>IOWA WESTERLY:109809A-2T</t>
        </is>
      </c>
      <c r="F2025" s="2">
        <v>800109809012</v>
      </c>
      <c r="G2025" s="0" t="inlineStr">
        <is>
          <t>TODDLER</t>
        </is>
      </c>
      <c r="H2025" s="0" t="inlineStr">
        <is>
          <t>2T</t>
        </is>
      </c>
      <c r="I2025" s="0">
        <v>25.99</v>
      </c>
      <c r="J2025" s="0">
        <v>34</v>
      </c>
    </row>
    <row r="2026" spans="1:10" customHeight="0">
      <c r="A2026" s="0">
        <f>HYPERLINK("https://dl.dropboxusercontent.com/scl/fi/6waq6m9wl3yh5g6xvok18/109809-af.jpg?rlkey=gtmqe3t389jb153b0f78rvqi0&amp;dl=0","Click to download Image")</f>
      </c>
      <c r="B2026" s="0">
        <f>HYPERLINK("https://dl.dropboxusercontent.com/scl/fi/gu6u7jqhv2uwdtl6f0zih/graphic-update22022-toddler.jpg?rlkey=ntiyq03pa3q0xeyvglg0zjhi1&amp;dl=0","Click to download SizeChart")</f>
      </c>
      <c r="C2026" s="0" t="inlineStr">
        <is>
          <t>Westerly Henley Toddler T-Shirt</t>
        </is>
      </c>
      <c r="D2026" s="1">
        <v>109809</v>
      </c>
      <c r="E2026" s="0" t="inlineStr">
        <is>
          <t>IOWA WESTERLY:109809B-3T</t>
        </is>
      </c>
      <c r="F2026" s="2">
        <v>800109809029</v>
      </c>
      <c r="G2026" s="0" t="inlineStr">
        <is>
          <t>TODDLER</t>
        </is>
      </c>
      <c r="H2026" s="0" t="inlineStr">
        <is>
          <t>3T</t>
        </is>
      </c>
      <c r="I2026" s="0">
        <v>25.99</v>
      </c>
      <c r="J2026" s="0">
        <v>32</v>
      </c>
    </row>
    <row r="2027" spans="1:10" customHeight="0">
      <c r="A2027" s="0">
        <f>HYPERLINK("https://dl.dropboxusercontent.com/scl/fi/6waq6m9wl3yh5g6xvok18/109809-af.jpg?rlkey=gtmqe3t389jb153b0f78rvqi0&amp;dl=0","Click to download Image")</f>
      </c>
      <c r="B2027" s="0">
        <f>HYPERLINK("https://dl.dropboxusercontent.com/scl/fi/gu6u7jqhv2uwdtl6f0zih/graphic-update22022-toddler.jpg?rlkey=ntiyq03pa3q0xeyvglg0zjhi1&amp;dl=0","Click to download SizeChart")</f>
      </c>
      <c r="C2027" s="0" t="inlineStr">
        <is>
          <t>Westerly Henley Toddler T-Shirt</t>
        </is>
      </c>
      <c r="D2027" s="1">
        <v>109809</v>
      </c>
      <c r="E2027" s="0" t="inlineStr">
        <is>
          <t>IOWA WESTERLY:109809C-4T</t>
        </is>
      </c>
      <c r="F2027" s="2">
        <v>800109809036</v>
      </c>
      <c r="G2027" s="0" t="inlineStr">
        <is>
          <t>TODDLER</t>
        </is>
      </c>
      <c r="H2027" s="0" t="inlineStr">
        <is>
          <t>4T</t>
        </is>
      </c>
      <c r="I2027" s="0">
        <v>25.99</v>
      </c>
      <c r="J2027" s="0">
        <v>34</v>
      </c>
    </row>
    <row r="2028" spans="1:10" customHeight="0">
      <c r="A2028" s="0">
        <f>HYPERLINK("https://dl.dropboxusercontent.com/scl/fi/6waq6m9wl3yh5g6xvok18/109809-af.jpg?rlkey=gtmqe3t389jb153b0f78rvqi0&amp;dl=0","Click to download Image")</f>
      </c>
      <c r="B2028" s="0">
        <f>HYPERLINK("https://dl.dropboxusercontent.com/scl/fi/gu6u7jqhv2uwdtl6f0zih/graphic-update22022-toddler.jpg?rlkey=ntiyq03pa3q0xeyvglg0zjhi1&amp;dl=0","Click to download SizeChart")</f>
      </c>
      <c r="C2028" s="0" t="inlineStr">
        <is>
          <t>Westerly Henley Toddler T-Shirt</t>
        </is>
      </c>
      <c r="D2028" s="1">
        <v>109809</v>
      </c>
      <c r="E2028" s="0" t="inlineStr">
        <is>
          <t>IOWA WESTERLY:109809D-5T</t>
        </is>
      </c>
      <c r="F2028" s="2">
        <v>800109809043</v>
      </c>
      <c r="G2028" s="0" t="inlineStr">
        <is>
          <t>TODDLER</t>
        </is>
      </c>
      <c r="H2028" s="0" t="inlineStr">
        <is>
          <t>5T</t>
        </is>
      </c>
      <c r="I2028" s="0">
        <v>25.99</v>
      </c>
      <c r="J2028" s="0">
        <v>33</v>
      </c>
    </row>
    <row r="2029" spans="1:10" customHeight="0">
      <c r="A2029" s="0">
        <f>HYPERLINK("https://dl.dropboxusercontent.com/scl/fi/6waq6m9wl3yh5g6xvok18/109809-af.jpg?rlkey=gtmqe3t389jb153b0f78rvqi0&amp;dl=0","Click to download Image")</f>
      </c>
      <c r="B2029" s="0">
        <f>HYPERLINK("https://dl.dropboxusercontent.com/scl/fi/gu6u7jqhv2uwdtl6f0zih/graphic-update22022-toddler.jpg?rlkey=ntiyq03pa3q0xeyvglg0zjhi1&amp;dl=0","Click to download SizeChart")</f>
      </c>
      <c r="C2029" s="0" t="inlineStr">
        <is>
          <t>Westerly Henley Toddler T-Shirt</t>
        </is>
      </c>
      <c r="D2029" s="1">
        <v>109809</v>
      </c>
      <c r="E2029" s="0" t="inlineStr">
        <is>
          <t>IOWA WESTERLEY 12 PACK:109809Z-12PK</t>
        </is>
      </c>
      <c r="F2029" s="2">
        <v>800109809104</v>
      </c>
      <c r="G2029" s="0" t="inlineStr">
        <is>
          <t>TODDLER</t>
        </is>
      </c>
      <c r="H2029" s="0" t="inlineStr">
        <is>
          <t>12 PACK</t>
        </is>
      </c>
      <c r="I2029" s="0">
        <v>25.99</v>
      </c>
      <c r="J2029" s="0">
        <v>0</v>
      </c>
    </row>
    <row r="2030" spans="1:10" customHeight="0">
      <c r="A2030" s="0">
        <f>HYPERLINK("https://dl.dropboxusercontent.com/scl/fi/ed2sdx6z1sth4s1grui5r/110807-af.jpg?rlkey=6li3njyboh5u5gmlbvjhwqkhr&amp;dl=0","Click to download Image")</f>
      </c>
      <c r="C2030" s="0" t="inlineStr">
        <is>
          <t>Vail Youth Cap </t>
        </is>
      </c>
      <c r="D2030" s="1">
        <v>110807</v>
      </c>
      <c r="E2030" s="0" t="inlineStr">
        <is>
          <t>IOWA VAIL BLACK:110807</t>
        </is>
      </c>
      <c r="F2030" s="2">
        <v>700110807017</v>
      </c>
      <c r="G2030" s="0" t="inlineStr">
        <is>
          <t>YOUTH</t>
        </is>
      </c>
      <c r="H2030" s="0" t="inlineStr">
        <is>
          <t>STANDARD:55CM</t>
        </is>
      </c>
      <c r="I2030" s="0">
        <v>19.99</v>
      </c>
      <c r="J2030" s="0">
        <v>50</v>
      </c>
    </row>
    <row r="2031" spans="1:10" customHeight="0">
      <c r="A2031" s="0">
        <f>HYPERLINK("https://dl.dropboxusercontent.com/scl/fi/u8hu3hcjb4b23pl5mrm6q/super.jpg?rlkey=8928pebukxs9gvc3loag5qwqx&amp;dl=0","Click to download Image")</f>
      </c>
      <c r="B2031" s="0">
        <f>HYPERLINK("https://dl.dropboxusercontent.com/scl/fi/h5bn50rbxiibvrhgrqab3/graphic-update22022-infant.jpg?rlkey=lnuk4v536ay3mv5ncxj6uf77w&amp;dl=0","Click to download SizeChart")</f>
      </c>
      <c r="C2031" s="0" t="inlineStr">
        <is>
          <t>Super Hero Bodysuit</t>
        </is>
      </c>
      <c r="D2031" s="1">
        <v>94988</v>
      </c>
      <c r="E2031" s="0" t="inlineStr">
        <is>
          <t>SUPER HERO:94988 0M-3M</t>
        </is>
      </c>
      <c r="F2031" s="2">
        <v>80009498801</v>
      </c>
      <c r="G2031" s="0" t="inlineStr">
        <is>
          <t>INFANT</t>
        </is>
      </c>
      <c r="H2031" s="0" t="inlineStr">
        <is>
          <t>0-3M</t>
        </is>
      </c>
      <c r="I2031" s="0">
        <v>19.99</v>
      </c>
      <c r="J2031" s="0">
        <v>19</v>
      </c>
    </row>
    <row r="2032" spans="1:10" customHeight="0">
      <c r="A2032" s="0">
        <f>HYPERLINK("https://dl.dropboxusercontent.com/scl/fi/u8hu3hcjb4b23pl5mrm6q/super.jpg?rlkey=8928pebukxs9gvc3loag5qwqx&amp;dl=0","Click to download Image")</f>
      </c>
      <c r="B2032" s="0">
        <f>HYPERLINK("https://dl.dropboxusercontent.com/scl/fi/h5bn50rbxiibvrhgrqab3/graphic-update22022-infant.jpg?rlkey=lnuk4v536ay3mv5ncxj6uf77w&amp;dl=0","Click to download SizeChart")</f>
      </c>
      <c r="C2032" s="0" t="inlineStr">
        <is>
          <t>Super Hero Bodysuit</t>
        </is>
      </c>
      <c r="D2032" s="1">
        <v>94988</v>
      </c>
      <c r="E2032" s="0" t="inlineStr">
        <is>
          <t>SUPER HERO:94988 3M-6M</t>
        </is>
      </c>
      <c r="F2032" s="2">
        <v>80009498802</v>
      </c>
      <c r="G2032" s="0" t="inlineStr">
        <is>
          <t>INFANT</t>
        </is>
      </c>
      <c r="H2032" s="0" t="inlineStr">
        <is>
          <t>3-6M</t>
        </is>
      </c>
      <c r="I2032" s="0">
        <v>19.99</v>
      </c>
      <c r="J2032" s="0">
        <v>12</v>
      </c>
    </row>
    <row r="2033" spans="1:10" customHeight="0">
      <c r="A2033" s="0">
        <f>HYPERLINK("https://dl.dropboxusercontent.com/scl/fi/u8hu3hcjb4b23pl5mrm6q/super.jpg?rlkey=8928pebukxs9gvc3loag5qwqx&amp;dl=0","Click to download Image")</f>
      </c>
      <c r="B2033" s="0">
        <f>HYPERLINK("https://dl.dropboxusercontent.com/scl/fi/h5bn50rbxiibvrhgrqab3/graphic-update22022-infant.jpg?rlkey=lnuk4v536ay3mv5ncxj6uf77w&amp;dl=0","Click to download SizeChart")</f>
      </c>
      <c r="C2033" s="0" t="inlineStr">
        <is>
          <t>Super Hero Bodysuit</t>
        </is>
      </c>
      <c r="D2033" s="1">
        <v>94988</v>
      </c>
      <c r="E2033" s="0" t="inlineStr">
        <is>
          <t>SUPER HERO:94988 6M-9M</t>
        </is>
      </c>
      <c r="F2033" s="2">
        <v>80009498803</v>
      </c>
      <c r="G2033" s="0" t="inlineStr">
        <is>
          <t>INFANT</t>
        </is>
      </c>
      <c r="H2033" s="0" t="inlineStr">
        <is>
          <t>6-9M</t>
        </is>
      </c>
      <c r="I2033" s="0">
        <v>19.99</v>
      </c>
      <c r="J2033" s="0">
        <v>17</v>
      </c>
    </row>
    <row r="2034" spans="1:10" customHeight="0">
      <c r="A2034" s="0">
        <f>HYPERLINK("https://dl.dropboxusercontent.com/scl/fi/u8hu3hcjb4b23pl5mrm6q/super.jpg?rlkey=8928pebukxs9gvc3loag5qwqx&amp;dl=0","Click to download Image")</f>
      </c>
      <c r="B2034" s="0">
        <f>HYPERLINK("https://dl.dropboxusercontent.com/scl/fi/h5bn50rbxiibvrhgrqab3/graphic-update22022-infant.jpg?rlkey=lnuk4v536ay3mv5ncxj6uf77w&amp;dl=0","Click to download SizeChart")</f>
      </c>
      <c r="C2034" s="0" t="inlineStr">
        <is>
          <t>Super Hero Bodysuit</t>
        </is>
      </c>
      <c r="D2034" s="1">
        <v>94988</v>
      </c>
      <c r="E2034" s="0" t="inlineStr">
        <is>
          <t>SUPER HERO:94988 9M-12M</t>
        </is>
      </c>
      <c r="F2034" s="2">
        <v>80009498804</v>
      </c>
      <c r="G2034" s="0" t="inlineStr">
        <is>
          <t>INFANT</t>
        </is>
      </c>
      <c r="H2034" s="0" t="inlineStr">
        <is>
          <t>12M</t>
        </is>
      </c>
      <c r="I2034" s="0">
        <v>19.99</v>
      </c>
      <c r="J2034" s="0">
        <v>14</v>
      </c>
    </row>
    <row r="2035" spans="1:10" customHeight="0">
      <c r="A2035" s="0">
        <f>HYPERLINK("https://dl.dropboxusercontent.com/scl/fi/s33gus27evotg7i1zw6or/111662-af.jpg?rlkey=vuvd8tz9pdtjh3dugf7xjt9g5&amp;dl=0","Click to download Image")</f>
      </c>
      <c r="B2035" s="0">
        <f>HYPERLINK("https://dl.dropboxusercontent.com/scl/fi/nispshx74qqyjefehsno0/8-19-women-s.jpg?rlkey=91jaaoejgtokcnsr48ld717c4&amp;dl=0","Click to download SizeChart")</f>
      </c>
      <c r="C2035" s="0" t="inlineStr">
        <is>
          <t>Sandra Women's Open Back T-Shirt</t>
        </is>
      </c>
      <c r="D2035" s="1">
        <v>111662</v>
      </c>
      <c r="E2035" s="0" t="inlineStr">
        <is>
          <t>IOWA SANDRA GOLD:111662AA-XS</t>
        </is>
      </c>
      <c r="F2035" s="2">
        <v>800111662032</v>
      </c>
      <c r="G2035" s="0" t="inlineStr">
        <is>
          <t>WOMENS</t>
        </is>
      </c>
      <c r="H2035" s="0" t="inlineStr">
        <is>
          <t>XS</t>
        </is>
      </c>
      <c r="I2035" s="0">
        <v>34.99</v>
      </c>
      <c r="J2035" s="0">
        <v>31</v>
      </c>
    </row>
    <row r="2036" spans="1:10" customHeight="0">
      <c r="A2036" s="0">
        <f>HYPERLINK("https://dl.dropboxusercontent.com/scl/fi/s33gus27evotg7i1zw6or/111662-af.jpg?rlkey=vuvd8tz9pdtjh3dugf7xjt9g5&amp;dl=0","Click to download Image")</f>
      </c>
      <c r="B2036" s="0">
        <f>HYPERLINK("https://dl.dropboxusercontent.com/scl/fi/nispshx74qqyjefehsno0/8-19-women-s.jpg?rlkey=91jaaoejgtokcnsr48ld717c4&amp;dl=0","Click to download SizeChart")</f>
      </c>
      <c r="C2036" s="0" t="inlineStr">
        <is>
          <t>Sandra Women's Open Back T-Shirt</t>
        </is>
      </c>
      <c r="D2036" s="1">
        <v>111662</v>
      </c>
      <c r="E2036" s="0" t="inlineStr">
        <is>
          <t>IOWA SANDRA GOLD:111662A-S</t>
        </is>
      </c>
      <c r="F2036" s="2">
        <v>800111662049</v>
      </c>
      <c r="G2036" s="0" t="inlineStr">
        <is>
          <t>WOMENS</t>
        </is>
      </c>
      <c r="H2036" s="0" t="inlineStr">
        <is>
          <t>S</t>
        </is>
      </c>
      <c r="I2036" s="0">
        <v>34.99</v>
      </c>
      <c r="J2036" s="0">
        <v>48</v>
      </c>
    </row>
    <row r="2037" spans="1:10" customHeight="0">
      <c r="A2037" s="0">
        <f>HYPERLINK("https://dl.dropboxusercontent.com/scl/fi/s33gus27evotg7i1zw6or/111662-af.jpg?rlkey=vuvd8tz9pdtjh3dugf7xjt9g5&amp;dl=0","Click to download Image")</f>
      </c>
      <c r="B2037" s="0">
        <f>HYPERLINK("https://dl.dropboxusercontent.com/scl/fi/nispshx74qqyjefehsno0/8-19-women-s.jpg?rlkey=91jaaoejgtokcnsr48ld717c4&amp;dl=0","Click to download SizeChart")</f>
      </c>
      <c r="C2037" s="0" t="inlineStr">
        <is>
          <t>Sandra Women's Open Back T-Shirt</t>
        </is>
      </c>
      <c r="D2037" s="1">
        <v>111662</v>
      </c>
      <c r="E2037" s="0" t="inlineStr">
        <is>
          <t>IOWA SANDRA GOLD:111662B-M</t>
        </is>
      </c>
      <c r="F2037" s="2">
        <v>800111662056</v>
      </c>
      <c r="G2037" s="0" t="inlineStr">
        <is>
          <t>WOMENS</t>
        </is>
      </c>
      <c r="H2037" s="0" t="inlineStr">
        <is>
          <t>M</t>
        </is>
      </c>
      <c r="I2037" s="0">
        <v>34.99</v>
      </c>
      <c r="J2037" s="0">
        <v>47</v>
      </c>
    </row>
    <row r="2038" spans="1:10" customHeight="0">
      <c r="A2038" s="0">
        <f>HYPERLINK("https://dl.dropboxusercontent.com/scl/fi/s33gus27evotg7i1zw6or/111662-af.jpg?rlkey=vuvd8tz9pdtjh3dugf7xjt9g5&amp;dl=0","Click to download Image")</f>
      </c>
      <c r="B2038" s="0">
        <f>HYPERLINK("https://dl.dropboxusercontent.com/scl/fi/nispshx74qqyjefehsno0/8-19-women-s.jpg?rlkey=91jaaoejgtokcnsr48ld717c4&amp;dl=0","Click to download SizeChart")</f>
      </c>
      <c r="C2038" s="0" t="inlineStr">
        <is>
          <t>Sandra Women's Open Back T-Shirt</t>
        </is>
      </c>
      <c r="D2038" s="1">
        <v>111662</v>
      </c>
      <c r="E2038" s="0" t="inlineStr">
        <is>
          <t>IOWA SANDRA GOLD:111662C-L</t>
        </is>
      </c>
      <c r="F2038" s="2">
        <v>800111662063</v>
      </c>
      <c r="G2038" s="0" t="inlineStr">
        <is>
          <t>WOMENS</t>
        </is>
      </c>
      <c r="H2038" s="0" t="inlineStr">
        <is>
          <t>L</t>
        </is>
      </c>
      <c r="I2038" s="0">
        <v>34.99</v>
      </c>
      <c r="J2038" s="0">
        <v>29</v>
      </c>
    </row>
    <row r="2039" spans="1:10" customHeight="0">
      <c r="A2039" s="0">
        <f>HYPERLINK("https://dl.dropboxusercontent.com/scl/fi/s33gus27evotg7i1zw6or/111662-af.jpg?rlkey=vuvd8tz9pdtjh3dugf7xjt9g5&amp;dl=0","Click to download Image")</f>
      </c>
      <c r="B2039" s="0">
        <f>HYPERLINK("https://dl.dropboxusercontent.com/scl/fi/nispshx74qqyjefehsno0/8-19-women-s.jpg?rlkey=91jaaoejgtokcnsr48ld717c4&amp;dl=0","Click to download SizeChart")</f>
      </c>
      <c r="C2039" s="0" t="inlineStr">
        <is>
          <t>Sandra Women's Open Back T-Shirt</t>
        </is>
      </c>
      <c r="D2039" s="1">
        <v>111662</v>
      </c>
      <c r="E2039" s="0" t="inlineStr">
        <is>
          <t>IOWA SANDRA GOLD:111662D-XL</t>
        </is>
      </c>
      <c r="F2039" s="2">
        <v>800111662070</v>
      </c>
      <c r="G2039" s="0" t="inlineStr">
        <is>
          <t>WOMENS</t>
        </is>
      </c>
      <c r="H2039" s="0" t="inlineStr">
        <is>
          <t>XL</t>
        </is>
      </c>
      <c r="I2039" s="0">
        <v>34.99</v>
      </c>
      <c r="J2039" s="0">
        <v>31</v>
      </c>
    </row>
    <row r="2040" spans="1:10" customHeight="0">
      <c r="A2040" s="0">
        <f>HYPERLINK("https://dl.dropboxusercontent.com/scl/fi/s33gus27evotg7i1zw6or/111662-af.jpg?rlkey=vuvd8tz9pdtjh3dugf7xjt9g5&amp;dl=0","Click to download Image")</f>
      </c>
      <c r="B2040" s="0">
        <f>HYPERLINK("https://dl.dropboxusercontent.com/scl/fi/nispshx74qqyjefehsno0/8-19-women-s.jpg?rlkey=91jaaoejgtokcnsr48ld717c4&amp;dl=0","Click to download SizeChart")</f>
      </c>
      <c r="C2040" s="0" t="inlineStr">
        <is>
          <t>Sandra Women's Open Back T-Shirt</t>
        </is>
      </c>
      <c r="D2040" s="1">
        <v>111662</v>
      </c>
      <c r="E2040" s="0" t="inlineStr">
        <is>
          <t>IOWA SANDRA GOLD:111662E-2XL</t>
        </is>
      </c>
      <c r="F2040" s="2">
        <v>800111662087</v>
      </c>
      <c r="G2040" s="0" t="inlineStr">
        <is>
          <t>WOMENS</t>
        </is>
      </c>
      <c r="H2040" s="0" t="inlineStr">
        <is>
          <t>2XL</t>
        </is>
      </c>
      <c r="I2040" s="0">
        <v>34.99</v>
      </c>
      <c r="J2040" s="0">
        <v>15</v>
      </c>
    </row>
    <row r="2041" spans="1:10" customHeight="0">
      <c r="A2041" s="0">
        <f>HYPERLINK("https://dl.dropboxusercontent.com/scl/fi/s33gus27evotg7i1zw6or/111662-af.jpg?rlkey=vuvd8tz9pdtjh3dugf7xjt9g5&amp;dl=0","Click to download Image")</f>
      </c>
      <c r="B2041" s="0">
        <f>HYPERLINK("https://dl.dropboxusercontent.com/scl/fi/nispshx74qqyjefehsno0/8-19-women-s.jpg?rlkey=91jaaoejgtokcnsr48ld717c4&amp;dl=0","Click to download SizeChart")</f>
      </c>
      <c r="C2041" s="0" t="inlineStr">
        <is>
          <t>Sandra Women's Open Back T-Shirt</t>
        </is>
      </c>
      <c r="D2041" s="1">
        <v>111662</v>
      </c>
      <c r="E2041" s="0" t="inlineStr">
        <is>
          <t>IOWA SANDRA GOLD:111662F-3XL</t>
        </is>
      </c>
      <c r="F2041" s="2">
        <v>800111662094</v>
      </c>
      <c r="G2041" s="0" t="inlineStr">
        <is>
          <t>WOMENS</t>
        </is>
      </c>
      <c r="H2041" s="0" t="inlineStr">
        <is>
          <t>3XL</t>
        </is>
      </c>
      <c r="I2041" s="0">
        <v>34.99</v>
      </c>
      <c r="J2041" s="0">
        <v>16</v>
      </c>
    </row>
    <row r="2042" spans="1:10" customHeight="0">
      <c r="A2042" s="0">
        <f>HYPERLINK("https://dl.dropboxusercontent.com/scl/fi/s33gus27evotg7i1zw6or/111662-af.jpg?rlkey=vuvd8tz9pdtjh3dugf7xjt9g5&amp;dl=0","Click to download Image")</f>
      </c>
      <c r="B2042" s="0">
        <f>HYPERLINK("https://dl.dropboxusercontent.com/scl/fi/nispshx74qqyjefehsno0/8-19-women-s.jpg?rlkey=91jaaoejgtokcnsr48ld717c4&amp;dl=0","Click to download SizeChart")</f>
      </c>
      <c r="C2042" s="0" t="inlineStr">
        <is>
          <t>Sandra Women's Open Back T-Shirt</t>
        </is>
      </c>
      <c r="D2042" s="1">
        <v>111662</v>
      </c>
      <c r="E2042" s="0" t="inlineStr">
        <is>
          <t>IOWA SANDRA GOLD 12 PACK:111662Z-12PK</t>
        </is>
      </c>
      <c r="F2042" s="2">
        <v>800111662995</v>
      </c>
      <c r="G2042" s="0" t="inlineStr">
        <is>
          <t>WOMENS</t>
        </is>
      </c>
      <c r="H2042" s="0" t="inlineStr">
        <is>
          <t>12 PACK</t>
        </is>
      </c>
      <c r="I2042" s="0">
        <v>34.99</v>
      </c>
      <c r="J2042" s="0">
        <v>0</v>
      </c>
    </row>
    <row r="2043" spans="1:10" customHeight="0">
      <c r="A2043" s="0">
        <f>HYPERLINK("https://dl.dropboxusercontent.com/scl/fi/b5c2gfoaoukoltyf9c4gq/111661-af.jpg?rlkey=ej25xa34fjvfdww6ojwg4vfbz&amp;dl=0","Click to download Image")</f>
      </c>
      <c r="B2043" s="0">
        <f>HYPERLINK("https://dl.dropboxusercontent.com/scl/fi/nispshx74qqyjefehsno0/8-19-women-s.jpg?rlkey=91jaaoejgtokcnsr48ld717c4&amp;dl=0","Click to download SizeChart")</f>
      </c>
      <c r="C2043" s="0" t="inlineStr">
        <is>
          <t>Sandra Women's Open Back T-Shirt</t>
        </is>
      </c>
      <c r="D2043" s="1">
        <v>111661</v>
      </c>
      <c r="E2043" s="0" t="inlineStr">
        <is>
          <t>IOWA SANDRA WHITE:111661AA-XS</t>
        </is>
      </c>
      <c r="F2043" s="2">
        <v>800111661035</v>
      </c>
      <c r="G2043" s="0" t="inlineStr">
        <is>
          <t>WOMENS</t>
        </is>
      </c>
      <c r="H2043" s="0" t="inlineStr">
        <is>
          <t>XS</t>
        </is>
      </c>
      <c r="I2043" s="0">
        <v>34.99</v>
      </c>
      <c r="J2043" s="0">
        <v>23</v>
      </c>
    </row>
    <row r="2044" spans="1:10" customHeight="0">
      <c r="A2044" s="0">
        <f>HYPERLINK("https://dl.dropboxusercontent.com/scl/fi/b5c2gfoaoukoltyf9c4gq/111661-af.jpg?rlkey=ej25xa34fjvfdww6ojwg4vfbz&amp;dl=0","Click to download Image")</f>
      </c>
      <c r="B2044" s="0">
        <f>HYPERLINK("https://dl.dropboxusercontent.com/scl/fi/nispshx74qqyjefehsno0/8-19-women-s.jpg?rlkey=91jaaoejgtokcnsr48ld717c4&amp;dl=0","Click to download SizeChart")</f>
      </c>
      <c r="C2044" s="0" t="inlineStr">
        <is>
          <t>Sandra Women's Open Back T-Shirt</t>
        </is>
      </c>
      <c r="D2044" s="1">
        <v>111661</v>
      </c>
      <c r="E2044" s="0" t="inlineStr">
        <is>
          <t>IOWA SANDRA WHITE:111661A-S</t>
        </is>
      </c>
      <c r="F2044" s="2">
        <v>800111661042</v>
      </c>
      <c r="G2044" s="0" t="inlineStr">
        <is>
          <t>WOMENS</t>
        </is>
      </c>
      <c r="H2044" s="0" t="inlineStr">
        <is>
          <t>S</t>
        </is>
      </c>
      <c r="I2044" s="0">
        <v>34.99</v>
      </c>
      <c r="J2044" s="0">
        <v>34</v>
      </c>
    </row>
    <row r="2045" spans="1:10" customHeight="0">
      <c r="A2045" s="0">
        <f>HYPERLINK("https://dl.dropboxusercontent.com/scl/fi/b5c2gfoaoukoltyf9c4gq/111661-af.jpg?rlkey=ej25xa34fjvfdww6ojwg4vfbz&amp;dl=0","Click to download Image")</f>
      </c>
      <c r="B2045" s="0">
        <f>HYPERLINK("https://dl.dropboxusercontent.com/scl/fi/nispshx74qqyjefehsno0/8-19-women-s.jpg?rlkey=91jaaoejgtokcnsr48ld717c4&amp;dl=0","Click to download SizeChart")</f>
      </c>
      <c r="C2045" s="0" t="inlineStr">
        <is>
          <t>Sandra Women's Open Back T-Shirt</t>
        </is>
      </c>
      <c r="D2045" s="1">
        <v>111661</v>
      </c>
      <c r="E2045" s="0" t="inlineStr">
        <is>
          <t>IOWA SANDRA WHITE:111661B-M</t>
        </is>
      </c>
      <c r="F2045" s="2">
        <v>800111661059</v>
      </c>
      <c r="G2045" s="0" t="inlineStr">
        <is>
          <t>WOMENS</t>
        </is>
      </c>
      <c r="H2045" s="0" t="inlineStr">
        <is>
          <t>M</t>
        </is>
      </c>
      <c r="I2045" s="0">
        <v>34.99</v>
      </c>
      <c r="J2045" s="0">
        <v>36</v>
      </c>
    </row>
    <row r="2046" spans="1:10" customHeight="0">
      <c r="A2046" s="0">
        <f>HYPERLINK("https://dl.dropboxusercontent.com/scl/fi/b5c2gfoaoukoltyf9c4gq/111661-af.jpg?rlkey=ej25xa34fjvfdww6ojwg4vfbz&amp;dl=0","Click to download Image")</f>
      </c>
      <c r="B2046" s="0">
        <f>HYPERLINK("https://dl.dropboxusercontent.com/scl/fi/nispshx74qqyjefehsno0/8-19-women-s.jpg?rlkey=91jaaoejgtokcnsr48ld717c4&amp;dl=0","Click to download SizeChart")</f>
      </c>
      <c r="C2046" s="0" t="inlineStr">
        <is>
          <t>Sandra Women's Open Back T-Shirt</t>
        </is>
      </c>
      <c r="D2046" s="1">
        <v>111661</v>
      </c>
      <c r="E2046" s="0" t="inlineStr">
        <is>
          <t>IOWA SANDRA WHITE:111661C-L</t>
        </is>
      </c>
      <c r="F2046" s="2">
        <v>800111661066</v>
      </c>
      <c r="G2046" s="0" t="inlineStr">
        <is>
          <t>WOMENS</t>
        </is>
      </c>
      <c r="H2046" s="0" t="inlineStr">
        <is>
          <t>L</t>
        </is>
      </c>
      <c r="I2046" s="0">
        <v>34.99</v>
      </c>
      <c r="J2046" s="0">
        <v>23</v>
      </c>
    </row>
    <row r="2047" spans="1:10" customHeight="0">
      <c r="A2047" s="0">
        <f>HYPERLINK("https://dl.dropboxusercontent.com/scl/fi/b5c2gfoaoukoltyf9c4gq/111661-af.jpg?rlkey=ej25xa34fjvfdww6ojwg4vfbz&amp;dl=0","Click to download Image")</f>
      </c>
      <c r="B2047" s="0">
        <f>HYPERLINK("https://dl.dropboxusercontent.com/scl/fi/nispshx74qqyjefehsno0/8-19-women-s.jpg?rlkey=91jaaoejgtokcnsr48ld717c4&amp;dl=0","Click to download SizeChart")</f>
      </c>
      <c r="C2047" s="0" t="inlineStr">
        <is>
          <t>Sandra Women's Open Back T-Shirt</t>
        </is>
      </c>
      <c r="D2047" s="1">
        <v>111661</v>
      </c>
      <c r="E2047" s="0" t="inlineStr">
        <is>
          <t>IOWA SANDRA WHITE:111661D-XL</t>
        </is>
      </c>
      <c r="F2047" s="2">
        <v>800111661073</v>
      </c>
      <c r="G2047" s="0" t="inlineStr">
        <is>
          <t>WOMENS</t>
        </is>
      </c>
      <c r="H2047" s="0" t="inlineStr">
        <is>
          <t>XL</t>
        </is>
      </c>
      <c r="I2047" s="0">
        <v>34.99</v>
      </c>
      <c r="J2047" s="0">
        <v>23</v>
      </c>
    </row>
    <row r="2048" spans="1:10" customHeight="0">
      <c r="A2048" s="0">
        <f>HYPERLINK("https://dl.dropboxusercontent.com/scl/fi/b5c2gfoaoukoltyf9c4gq/111661-af.jpg?rlkey=ej25xa34fjvfdww6ojwg4vfbz&amp;dl=0","Click to download Image")</f>
      </c>
      <c r="B2048" s="0">
        <f>HYPERLINK("https://dl.dropboxusercontent.com/scl/fi/nispshx74qqyjefehsno0/8-19-women-s.jpg?rlkey=91jaaoejgtokcnsr48ld717c4&amp;dl=0","Click to download SizeChart")</f>
      </c>
      <c r="C2048" s="0" t="inlineStr">
        <is>
          <t>Sandra Women's Open Back T-Shirt</t>
        </is>
      </c>
      <c r="D2048" s="1">
        <v>111661</v>
      </c>
      <c r="E2048" s="0" t="inlineStr">
        <is>
          <t>IOWA SANDRA WHITE:111661E-2XL</t>
        </is>
      </c>
      <c r="F2048" s="2">
        <v>800111661080</v>
      </c>
      <c r="G2048" s="0" t="inlineStr">
        <is>
          <t>WOMENS</t>
        </is>
      </c>
      <c r="H2048" s="0" t="inlineStr">
        <is>
          <t>2XL</t>
        </is>
      </c>
      <c r="I2048" s="0">
        <v>34.99</v>
      </c>
      <c r="J2048" s="0">
        <v>11</v>
      </c>
    </row>
    <row r="2049" spans="1:10" customHeight="0">
      <c r="A2049" s="0">
        <f>HYPERLINK("https://dl.dropboxusercontent.com/scl/fi/b5c2gfoaoukoltyf9c4gq/111661-af.jpg?rlkey=ej25xa34fjvfdww6ojwg4vfbz&amp;dl=0","Click to download Image")</f>
      </c>
      <c r="B2049" s="0">
        <f>HYPERLINK("https://dl.dropboxusercontent.com/scl/fi/nispshx74qqyjefehsno0/8-19-women-s.jpg?rlkey=91jaaoejgtokcnsr48ld717c4&amp;dl=0","Click to download SizeChart")</f>
      </c>
      <c r="C2049" s="0" t="inlineStr">
        <is>
          <t>Sandra Women's Open Back T-Shirt</t>
        </is>
      </c>
      <c r="D2049" s="1">
        <v>111661</v>
      </c>
      <c r="E2049" s="0" t="inlineStr">
        <is>
          <t>IOWA SANDRA WHITE:111661F-3XL</t>
        </is>
      </c>
      <c r="F2049" s="2">
        <v>800111661097</v>
      </c>
      <c r="G2049" s="0" t="inlineStr">
        <is>
          <t>WOMENS</t>
        </is>
      </c>
      <c r="H2049" s="0" t="inlineStr">
        <is>
          <t>3XL</t>
        </is>
      </c>
      <c r="I2049" s="0">
        <v>34.99</v>
      </c>
      <c r="J2049" s="0">
        <v>12</v>
      </c>
    </row>
    <row r="2050" spans="1:10" customHeight="0">
      <c r="A2050" s="0">
        <f>HYPERLINK("https://dl.dropboxusercontent.com/scl/fi/b5c2gfoaoukoltyf9c4gq/111661-af.jpg?rlkey=ej25xa34fjvfdww6ojwg4vfbz&amp;dl=0","Click to download Image")</f>
      </c>
      <c r="B2050" s="0">
        <f>HYPERLINK("https://dl.dropboxusercontent.com/scl/fi/nispshx74qqyjefehsno0/8-19-women-s.jpg?rlkey=91jaaoejgtokcnsr48ld717c4&amp;dl=0","Click to download SizeChart")</f>
      </c>
      <c r="C2050" s="0" t="inlineStr">
        <is>
          <t>Sandra Women's Open Back T-Shirt</t>
        </is>
      </c>
      <c r="D2050" s="1">
        <v>111661</v>
      </c>
      <c r="E2050" s="0" t="inlineStr">
        <is>
          <t>IOWA SANDRA WHITE 12 PACK:111661Z-12PK</t>
        </is>
      </c>
      <c r="F2050" s="2">
        <v>800111661998</v>
      </c>
      <c r="G2050" s="0" t="inlineStr">
        <is>
          <t>WOMENS</t>
        </is>
      </c>
      <c r="H2050" s="0" t="inlineStr">
        <is>
          <t>12 PACK</t>
        </is>
      </c>
      <c r="I2050" s="0">
        <v>34.99</v>
      </c>
      <c r="J2050" s="0">
        <v>0</v>
      </c>
    </row>
    <row r="2051" spans="1:10" customHeight="0">
      <c r="A2051" s="0">
        <f>HYPERLINK("https://dl.dropboxusercontent.com/scl/fi/1qwl7yac3a110eag4kucw/101170-af.jpg?rlkey=6ub3e93jkb3cqfztntarp7bb4&amp;dl=0","Click to download Image")</f>
      </c>
      <c r="C2051" s="0" t="inlineStr">
        <is>
          <t>Aubry Duffel Bag</t>
        </is>
      </c>
      <c r="D2051" s="1">
        <v>101170</v>
      </c>
      <c r="E2051" s="0" t="inlineStr">
        <is>
          <t>AUBRY:101170</t>
        </is>
      </c>
      <c r="I2051" s="0">
        <v>44.99</v>
      </c>
      <c r="J2051" s="0">
        <v>121</v>
      </c>
    </row>
    <row r="2052" spans="1:10" customHeight="0">
      <c r="A2052" s="0">
        <f>HYPERLINK("https://dl.dropboxusercontent.com/scl/fi/wroaycko399jv2a6urbc5/109860af.jpg?rlkey=hacs13en1tig6kzdes582dri3&amp;dl=0","Click to download Image")</f>
      </c>
      <c r="B2052" s="0">
        <f>HYPERLINK("https://dl.dropboxusercontent.com/scl/fi/ng93ccc29qoclh2a2ctme/tdlr-yth-bottoms-size-chartsbelle.jpg?rlkey=xmy2vnl00w7ek8c3rquulh2j6&amp;dl=0","Click to download SizeChart")</f>
      </c>
      <c r="C2052" s="0" t="inlineStr">
        <is>
          <t>Belle Youth Leggings</t>
        </is>
      </c>
      <c r="D2052" s="1">
        <v>109860</v>
      </c>
      <c r="E2052" s="0" t="inlineStr">
        <is>
          <t>IOWA BELLE:109860B-YS</t>
        </is>
      </c>
      <c r="F2052" s="2">
        <v>800109860013</v>
      </c>
      <c r="G2052" s="0" t="inlineStr">
        <is>
          <t>YOUTH</t>
        </is>
      </c>
      <c r="H2052" s="0" t="inlineStr">
        <is>
          <t>YS</t>
        </is>
      </c>
      <c r="I2052" s="0">
        <v>24.99</v>
      </c>
      <c r="J2052" s="0">
        <v>14</v>
      </c>
    </row>
    <row r="2053" spans="1:10" customHeight="0">
      <c r="A2053" s="0">
        <f>HYPERLINK("https://dl.dropboxusercontent.com/scl/fi/wroaycko399jv2a6urbc5/109860af.jpg?rlkey=hacs13en1tig6kzdes582dri3&amp;dl=0","Click to download Image")</f>
      </c>
      <c r="B2053" s="0">
        <f>HYPERLINK("https://dl.dropboxusercontent.com/scl/fi/ng93ccc29qoclh2a2ctme/tdlr-yth-bottoms-size-chartsbelle.jpg?rlkey=xmy2vnl00w7ek8c3rquulh2j6&amp;dl=0","Click to download SizeChart")</f>
      </c>
      <c r="C2053" s="0" t="inlineStr">
        <is>
          <t>Belle Youth Leggings</t>
        </is>
      </c>
      <c r="D2053" s="1">
        <v>109860</v>
      </c>
      <c r="E2053" s="0" t="inlineStr">
        <is>
          <t>IOWA BELLE:109860C-YM</t>
        </is>
      </c>
      <c r="F2053" s="2">
        <v>800109860020</v>
      </c>
      <c r="G2053" s="0" t="inlineStr">
        <is>
          <t>YOUTH</t>
        </is>
      </c>
      <c r="H2053" s="0" t="inlineStr">
        <is>
          <t>YM</t>
        </is>
      </c>
      <c r="I2053" s="0">
        <v>24.99</v>
      </c>
      <c r="J2053" s="0">
        <v>0</v>
      </c>
    </row>
    <row r="2054" spans="1:10" customHeight="0">
      <c r="A2054" s="0">
        <f>HYPERLINK("https://dl.dropboxusercontent.com/scl/fi/wroaycko399jv2a6urbc5/109860af.jpg?rlkey=hacs13en1tig6kzdes582dri3&amp;dl=0","Click to download Image")</f>
      </c>
      <c r="B2054" s="0">
        <f>HYPERLINK("https://dl.dropboxusercontent.com/scl/fi/ng93ccc29qoclh2a2ctme/tdlr-yth-bottoms-size-chartsbelle.jpg?rlkey=xmy2vnl00w7ek8c3rquulh2j6&amp;dl=0","Click to download SizeChart")</f>
      </c>
      <c r="C2054" s="0" t="inlineStr">
        <is>
          <t>Belle Youth Leggings</t>
        </is>
      </c>
      <c r="D2054" s="1">
        <v>109860</v>
      </c>
      <c r="E2054" s="0" t="inlineStr">
        <is>
          <t>IOWA BELLE:109860D-YL</t>
        </is>
      </c>
      <c r="F2054" s="2">
        <v>800109860037</v>
      </c>
      <c r="G2054" s="0" t="inlineStr">
        <is>
          <t>YOUTH</t>
        </is>
      </c>
      <c r="H2054" s="0" t="inlineStr">
        <is>
          <t>YL</t>
        </is>
      </c>
      <c r="I2054" s="0">
        <v>24.99</v>
      </c>
      <c r="J2054" s="0">
        <v>22</v>
      </c>
    </row>
    <row r="2055" spans="1:10" customHeight="0">
      <c r="A2055" s="0">
        <f>HYPERLINK("https://dl.dropboxusercontent.com/scl/fi/wroaycko399jv2a6urbc5/109860af.jpg?rlkey=hacs13en1tig6kzdes582dri3&amp;dl=0","Click to download Image")</f>
      </c>
      <c r="B2055" s="0">
        <f>HYPERLINK("https://dl.dropboxusercontent.com/scl/fi/ng93ccc29qoclh2a2ctme/tdlr-yth-bottoms-size-chartsbelle.jpg?rlkey=xmy2vnl00w7ek8c3rquulh2j6&amp;dl=0","Click to download SizeChart")</f>
      </c>
      <c r="C2055" s="0" t="inlineStr">
        <is>
          <t>Belle Youth Leggings</t>
        </is>
      </c>
      <c r="D2055" s="1">
        <v>109860</v>
      </c>
      <c r="E2055" s="0" t="inlineStr">
        <is>
          <t>IOWA BELLE:109860E-YXL</t>
        </is>
      </c>
      <c r="F2055" s="2">
        <v>800109860044</v>
      </c>
      <c r="G2055" s="0" t="inlineStr">
        <is>
          <t>YOUTH</t>
        </is>
      </c>
      <c r="H2055" s="0" t="inlineStr">
        <is>
          <t>YXL</t>
        </is>
      </c>
      <c r="I2055" s="0">
        <v>24.99</v>
      </c>
      <c r="J2055" s="0">
        <v>26</v>
      </c>
    </row>
    <row r="2056" spans="1:10" customHeight="0">
      <c r="A2056" s="0">
        <f>HYPERLINK("https://dl.dropboxusercontent.com/scl/fi/wroaycko399jv2a6urbc5/109860af.jpg?rlkey=hacs13en1tig6kzdes582dri3&amp;dl=0","Click to download Image")</f>
      </c>
      <c r="B2056" s="0">
        <f>HYPERLINK("https://dl.dropboxusercontent.com/scl/fi/ng93ccc29qoclh2a2ctme/tdlr-yth-bottoms-size-chartsbelle.jpg?rlkey=xmy2vnl00w7ek8c3rquulh2j6&amp;dl=0","Click to download SizeChart")</f>
      </c>
      <c r="C2056" s="0" t="inlineStr">
        <is>
          <t>Belle Youth Leggings</t>
        </is>
      </c>
      <c r="D2056" s="1">
        <v>109860</v>
      </c>
      <c r="E2056" s="0" t="inlineStr">
        <is>
          <t>IOWA BELLE YOUTH 12 PACK:109860Z-12PK</t>
        </is>
      </c>
      <c r="F2056" s="2">
        <v>800109860990</v>
      </c>
      <c r="G2056" s="0" t="inlineStr">
        <is>
          <t>YOUTH</t>
        </is>
      </c>
      <c r="H2056" s="0" t="inlineStr">
        <is>
          <t>12 PACK</t>
        </is>
      </c>
      <c r="I2056" s="0">
        <v>240</v>
      </c>
      <c r="J2056" s="0">
        <v>0</v>
      </c>
    </row>
    <row r="2057" spans="1:10" customHeight="0">
      <c r="A2057" s="0">
        <f>HYPERLINK("https://dl.dropboxusercontent.com/scl/fi/2j380zffhma2025aoc8hh/107238-af.jpg?rlkey=h38u3viu20m9kpra0rcb0qji3&amp;dl=0","Click to download Image")</f>
      </c>
      <c r="C2057" s="0" t="inlineStr">
        <is>
          <t>Aurora Women's Cap</t>
        </is>
      </c>
      <c r="D2057" s="1">
        <v>107238</v>
      </c>
      <c r="E2057" s="0" t="inlineStr">
        <is>
          <t>AURORA:107238</t>
        </is>
      </c>
      <c r="F2057" s="2">
        <v>700107238015</v>
      </c>
      <c r="G2057" s="0" t="inlineStr">
        <is>
          <t>WOMENS</t>
        </is>
      </c>
      <c r="H2057" s="0" t="inlineStr">
        <is>
          <t>WOMENS</t>
        </is>
      </c>
      <c r="I2057" s="0">
        <v>23.99</v>
      </c>
      <c r="J2057" s="0">
        <v>89</v>
      </c>
    </row>
    <row r="2058" spans="1:10" customHeight="0">
      <c r="A2058" s="0">
        <f>HYPERLINK("https://dl.dropboxusercontent.com/scl/fi/5prln4wtxmdsmsgnvb8br/bristol-tn.jpg?rlkey=3jwk82uifym16lkudpdqelh0v&amp;dl=0","Click to download Image")</f>
      </c>
      <c r="B2058" s="0">
        <f>HYPERLINK("https://dl.dropboxusercontent.com/scl/fi/yb55tkamjzv1y2guu5of0/graphic-update2022-womens.jpg?rlkey=ldbz4bbxlln0rtuxzbnk1nlg6&amp;dl=0","Click to download SizeChart")</f>
      </c>
      <c r="C2058" s="0" t="inlineStr">
        <is>
          <t>Bristol Women's Long Sleeve Shirt</t>
        </is>
      </c>
      <c r="D2058" s="1">
        <v>107210</v>
      </c>
      <c r="E2058" s="0" t="inlineStr">
        <is>
          <t>IA BRISTOL:107210A - S</t>
        </is>
      </c>
      <c r="G2058" s="0" t="inlineStr">
        <is>
          <t>WOMENS</t>
        </is>
      </c>
      <c r="H2058" s="0" t="inlineStr">
        <is>
          <t>S</t>
        </is>
      </c>
      <c r="I2058" s="0">
        <v>34.99</v>
      </c>
      <c r="J2058" s="0">
        <v>25</v>
      </c>
    </row>
    <row r="2059" spans="1:10" customHeight="0">
      <c r="A2059" s="0">
        <f>HYPERLINK("https://dl.dropboxusercontent.com/scl/fi/5prln4wtxmdsmsgnvb8br/bristol-tn.jpg?rlkey=3jwk82uifym16lkudpdqelh0v&amp;dl=0","Click to download Image")</f>
      </c>
      <c r="B2059" s="0">
        <f>HYPERLINK("https://dl.dropboxusercontent.com/scl/fi/yb55tkamjzv1y2guu5of0/graphic-update2022-womens.jpg?rlkey=ldbz4bbxlln0rtuxzbnk1nlg6&amp;dl=0","Click to download SizeChart")</f>
      </c>
      <c r="C2059" s="0" t="inlineStr">
        <is>
          <t>Bristol Women's Long Sleeve Shirt</t>
        </is>
      </c>
      <c r="D2059" s="1">
        <v>107210</v>
      </c>
      <c r="E2059" s="0" t="inlineStr">
        <is>
          <t>IA BRISTOL:107210B - M</t>
        </is>
      </c>
      <c r="G2059" s="0" t="inlineStr">
        <is>
          <t>WOMENS</t>
        </is>
      </c>
      <c r="H2059" s="0" t="inlineStr">
        <is>
          <t>M</t>
        </is>
      </c>
      <c r="I2059" s="0">
        <v>34.99</v>
      </c>
      <c r="J2059" s="0">
        <v>69</v>
      </c>
    </row>
    <row r="2060" spans="1:10" customHeight="0">
      <c r="A2060" s="0">
        <f>HYPERLINK("https://dl.dropboxusercontent.com/scl/fi/5prln4wtxmdsmsgnvb8br/bristol-tn.jpg?rlkey=3jwk82uifym16lkudpdqelh0v&amp;dl=0","Click to download Image")</f>
      </c>
      <c r="B2060" s="0">
        <f>HYPERLINK("https://dl.dropboxusercontent.com/scl/fi/yb55tkamjzv1y2guu5of0/graphic-update2022-womens.jpg?rlkey=ldbz4bbxlln0rtuxzbnk1nlg6&amp;dl=0","Click to download SizeChart")</f>
      </c>
      <c r="C2060" s="0" t="inlineStr">
        <is>
          <t>Bristol Women's Long Sleeve Shirt</t>
        </is>
      </c>
      <c r="D2060" s="1">
        <v>107210</v>
      </c>
      <c r="E2060" s="0" t="inlineStr">
        <is>
          <t>IA BRISTOL:107210C - L</t>
        </is>
      </c>
      <c r="G2060" s="0" t="inlineStr">
        <is>
          <t>WOMENS</t>
        </is>
      </c>
      <c r="H2060" s="0" t="inlineStr">
        <is>
          <t>L</t>
        </is>
      </c>
      <c r="I2060" s="0">
        <v>34.99</v>
      </c>
      <c r="J2060" s="0">
        <v>60</v>
      </c>
    </row>
    <row r="2061" spans="1:10" customHeight="0">
      <c r="A2061" s="0">
        <f>HYPERLINK("https://dl.dropboxusercontent.com/scl/fi/5prln4wtxmdsmsgnvb8br/bristol-tn.jpg?rlkey=3jwk82uifym16lkudpdqelh0v&amp;dl=0","Click to download Image")</f>
      </c>
      <c r="B2061" s="0">
        <f>HYPERLINK("https://dl.dropboxusercontent.com/scl/fi/yb55tkamjzv1y2guu5of0/graphic-update2022-womens.jpg?rlkey=ldbz4bbxlln0rtuxzbnk1nlg6&amp;dl=0","Click to download SizeChart")</f>
      </c>
      <c r="C2061" s="0" t="inlineStr">
        <is>
          <t>Bristol Women's Long Sleeve Shirt</t>
        </is>
      </c>
      <c r="D2061" s="1">
        <v>107210</v>
      </c>
      <c r="E2061" s="0" t="inlineStr">
        <is>
          <t>IA BRISTOL:107210D - XL</t>
        </is>
      </c>
      <c r="G2061" s="0" t="inlineStr">
        <is>
          <t>WOMENS</t>
        </is>
      </c>
      <c r="H2061" s="0" t="inlineStr">
        <is>
          <t>XL</t>
        </is>
      </c>
      <c r="I2061" s="0">
        <v>34.99</v>
      </c>
      <c r="J2061" s="0">
        <v>14</v>
      </c>
    </row>
    <row r="2062" spans="1:10" customHeight="0">
      <c r="A2062" s="0">
        <f>HYPERLINK("https://dl.dropboxusercontent.com/scl/fi/5prln4wtxmdsmsgnvb8br/bristol-tn.jpg?rlkey=3jwk82uifym16lkudpdqelh0v&amp;dl=0","Click to download Image")</f>
      </c>
      <c r="B2062" s="0">
        <f>HYPERLINK("https://dl.dropboxusercontent.com/scl/fi/yb55tkamjzv1y2guu5of0/graphic-update2022-womens.jpg?rlkey=ldbz4bbxlln0rtuxzbnk1nlg6&amp;dl=0","Click to download SizeChart")</f>
      </c>
      <c r="C2062" s="0" t="inlineStr">
        <is>
          <t>Bristol Women's Long Sleeve Shirt</t>
        </is>
      </c>
      <c r="D2062" s="1">
        <v>107210</v>
      </c>
      <c r="E2062" s="0" t="inlineStr">
        <is>
          <t>IA BRISTOL:107210E - 2XL</t>
        </is>
      </c>
      <c r="G2062" s="0" t="inlineStr">
        <is>
          <t>WOMENS</t>
        </is>
      </c>
      <c r="H2062" s="0" t="inlineStr">
        <is>
          <t>2XL</t>
        </is>
      </c>
      <c r="I2062" s="0">
        <v>34.99</v>
      </c>
      <c r="J2062" s="0">
        <v>0</v>
      </c>
    </row>
    <row r="2063" spans="1:10" customHeight="0">
      <c r="A2063" s="0">
        <f>HYPERLINK("https://dl.dropboxusercontent.com/scl/fi/5prln4wtxmdsmsgnvb8br/bristol-tn.jpg?rlkey=3jwk82uifym16lkudpdqelh0v&amp;dl=0","Click to download Image")</f>
      </c>
      <c r="B2063" s="0">
        <f>HYPERLINK("https://dl.dropboxusercontent.com/scl/fi/yb55tkamjzv1y2guu5of0/graphic-update2022-womens.jpg?rlkey=ldbz4bbxlln0rtuxzbnk1nlg6&amp;dl=0","Click to download SizeChart")</f>
      </c>
      <c r="C2063" s="0" t="inlineStr">
        <is>
          <t>Bristol Women's Long Sleeve Shirt</t>
        </is>
      </c>
      <c r="D2063" s="1">
        <v>107210</v>
      </c>
      <c r="E2063" s="0" t="inlineStr">
        <is>
          <t>IA BRISTOL:107210F - 3XL</t>
        </is>
      </c>
      <c r="G2063" s="0" t="inlineStr">
        <is>
          <t>WOMENS</t>
        </is>
      </c>
      <c r="H2063" s="0" t="inlineStr">
        <is>
          <t>3XL</t>
        </is>
      </c>
      <c r="I2063" s="0">
        <v>34.99</v>
      </c>
      <c r="J2063" s="0">
        <v>4</v>
      </c>
    </row>
    <row r="2064" spans="1:10" customHeight="0">
      <c r="A2064" s="0">
        <f>HYPERLINK("https://dl.dropboxusercontent.com/scl/fi/7mvuibiuz7br4mbnond7t/107035af.jpg?rlkey=adblhubd7im34lt18g831qvd4&amp;dl=0","Click to download Image")</f>
      </c>
      <c r="B2064" s="0">
        <f>HYPERLINK("https://dl.dropboxusercontent.com/scl/fi/7fy1v8umtepzk421hpnwg/womens-size-chartsbrooklyn.jpg?rlkey=s8hv0m5pdd6bj961elvhx46nv&amp;dl=0","Click to download SizeChart")</f>
      </c>
      <c r="C2064" s="0" t="inlineStr">
        <is>
          <t>Brooklyn Women's Off Shoulder Sweatshirt</t>
        </is>
      </c>
      <c r="D2064" s="1">
        <v>107035</v>
      </c>
      <c r="E2064" s="0" t="inlineStr">
        <is>
          <t>IA BROOKLYN:107035A-S</t>
        </is>
      </c>
      <c r="F2064" s="2">
        <v>800107035017</v>
      </c>
      <c r="G2064" s="0" t="inlineStr">
        <is>
          <t>WOMENS</t>
        </is>
      </c>
      <c r="H2064" s="0" t="inlineStr">
        <is>
          <t>S</t>
        </is>
      </c>
      <c r="I2064" s="0">
        <v>42.99</v>
      </c>
      <c r="J2064" s="0">
        <v>0</v>
      </c>
    </row>
    <row r="2065" spans="1:10" customHeight="0">
      <c r="A2065" s="0">
        <f>HYPERLINK("https://dl.dropboxusercontent.com/scl/fi/7mvuibiuz7br4mbnond7t/107035af.jpg?rlkey=adblhubd7im34lt18g831qvd4&amp;dl=0","Click to download Image")</f>
      </c>
      <c r="B2065" s="0">
        <f>HYPERLINK("https://dl.dropboxusercontent.com/scl/fi/7fy1v8umtepzk421hpnwg/womens-size-chartsbrooklyn.jpg?rlkey=s8hv0m5pdd6bj961elvhx46nv&amp;dl=0","Click to download SizeChart")</f>
      </c>
      <c r="C2065" s="0" t="inlineStr">
        <is>
          <t>Brooklyn Women's Off Shoulder Sweatshirt</t>
        </is>
      </c>
      <c r="D2065" s="1">
        <v>107035</v>
      </c>
      <c r="E2065" s="0" t="inlineStr">
        <is>
          <t>IA BROOKLYN:107035B-M</t>
        </is>
      </c>
      <c r="F2065" s="2">
        <v>800107035024</v>
      </c>
      <c r="G2065" s="0" t="inlineStr">
        <is>
          <t>WOMENS</t>
        </is>
      </c>
      <c r="H2065" s="0" t="inlineStr">
        <is>
          <t>M</t>
        </is>
      </c>
      <c r="I2065" s="0">
        <v>42.99</v>
      </c>
      <c r="J2065" s="0">
        <v>39</v>
      </c>
    </row>
    <row r="2066" spans="1:10" customHeight="0">
      <c r="A2066" s="0">
        <f>HYPERLINK("https://dl.dropboxusercontent.com/scl/fi/7mvuibiuz7br4mbnond7t/107035af.jpg?rlkey=adblhubd7im34lt18g831qvd4&amp;dl=0","Click to download Image")</f>
      </c>
      <c r="B2066" s="0">
        <f>HYPERLINK("https://dl.dropboxusercontent.com/scl/fi/7fy1v8umtepzk421hpnwg/womens-size-chartsbrooklyn.jpg?rlkey=s8hv0m5pdd6bj961elvhx46nv&amp;dl=0","Click to download SizeChart")</f>
      </c>
      <c r="C2066" s="0" t="inlineStr">
        <is>
          <t>Brooklyn Women's Off Shoulder Sweatshirt</t>
        </is>
      </c>
      <c r="D2066" s="1">
        <v>107035</v>
      </c>
      <c r="E2066" s="0" t="inlineStr">
        <is>
          <t>IA BROOKLYN:107035C-L</t>
        </is>
      </c>
      <c r="F2066" s="2">
        <v>800107035031</v>
      </c>
      <c r="G2066" s="0" t="inlineStr">
        <is>
          <t>WOMENS</t>
        </is>
      </c>
      <c r="H2066" s="0" t="inlineStr">
        <is>
          <t>L</t>
        </is>
      </c>
      <c r="I2066" s="0">
        <v>42.99</v>
      </c>
      <c r="J2066" s="0">
        <v>31</v>
      </c>
    </row>
    <row r="2067" spans="1:10" customHeight="0">
      <c r="A2067" s="0">
        <f>HYPERLINK("https://dl.dropboxusercontent.com/scl/fi/7mvuibiuz7br4mbnond7t/107035af.jpg?rlkey=adblhubd7im34lt18g831qvd4&amp;dl=0","Click to download Image")</f>
      </c>
      <c r="B2067" s="0">
        <f>HYPERLINK("https://dl.dropboxusercontent.com/scl/fi/7fy1v8umtepzk421hpnwg/womens-size-chartsbrooklyn.jpg?rlkey=s8hv0m5pdd6bj961elvhx46nv&amp;dl=0","Click to download SizeChart")</f>
      </c>
      <c r="C2067" s="0" t="inlineStr">
        <is>
          <t>Brooklyn Women's Off Shoulder Sweatshirt</t>
        </is>
      </c>
      <c r="D2067" s="1">
        <v>107035</v>
      </c>
      <c r="E2067" s="0" t="inlineStr">
        <is>
          <t>IA BROOKLYN:107035D-XL</t>
        </is>
      </c>
      <c r="F2067" s="2">
        <v>800107035048</v>
      </c>
      <c r="G2067" s="0" t="inlineStr">
        <is>
          <t>WOMENS</t>
        </is>
      </c>
      <c r="H2067" s="0" t="inlineStr">
        <is>
          <t>XL</t>
        </is>
      </c>
      <c r="I2067" s="0">
        <v>42.99</v>
      </c>
      <c r="J2067" s="0">
        <v>0</v>
      </c>
    </row>
    <row r="2068" spans="1:10" customHeight="0">
      <c r="A2068" s="0">
        <f>HYPERLINK("https://dl.dropboxusercontent.com/scl/fi/7mvuibiuz7br4mbnond7t/107035af.jpg?rlkey=adblhubd7im34lt18g831qvd4&amp;dl=0","Click to download Image")</f>
      </c>
      <c r="B2068" s="0">
        <f>HYPERLINK("https://dl.dropboxusercontent.com/scl/fi/7fy1v8umtepzk421hpnwg/womens-size-chartsbrooklyn.jpg?rlkey=s8hv0m5pdd6bj961elvhx46nv&amp;dl=0","Click to download SizeChart")</f>
      </c>
      <c r="C2068" s="0" t="inlineStr">
        <is>
          <t>Brooklyn Women's Off Shoulder Sweatshirt</t>
        </is>
      </c>
      <c r="D2068" s="1">
        <v>107035</v>
      </c>
      <c r="E2068" s="0" t="inlineStr">
        <is>
          <t>IA BROOKLYN:107035E-2XL</t>
        </is>
      </c>
      <c r="F2068" s="2">
        <v>800107035055</v>
      </c>
      <c r="G2068" s="0" t="inlineStr">
        <is>
          <t>WOMENS</t>
        </is>
      </c>
      <c r="H2068" s="0" t="inlineStr">
        <is>
          <t>2XL</t>
        </is>
      </c>
      <c r="I2068" s="0">
        <v>44.99</v>
      </c>
      <c r="J2068" s="0">
        <v>0</v>
      </c>
    </row>
    <row r="2069" spans="1:10" customHeight="0">
      <c r="A2069" s="0">
        <f>HYPERLINK("https://dl.dropboxusercontent.com/scl/fi/7mvuibiuz7br4mbnond7t/107035af.jpg?rlkey=adblhubd7im34lt18g831qvd4&amp;dl=0","Click to download Image")</f>
      </c>
      <c r="B2069" s="0">
        <f>HYPERLINK("https://dl.dropboxusercontent.com/scl/fi/7fy1v8umtepzk421hpnwg/womens-size-chartsbrooklyn.jpg?rlkey=s8hv0m5pdd6bj961elvhx46nv&amp;dl=0","Click to download SizeChart")</f>
      </c>
      <c r="C2069" s="0" t="inlineStr">
        <is>
          <t>Brooklyn Women's Off Shoulder Sweatshirt</t>
        </is>
      </c>
      <c r="D2069" s="1">
        <v>107035</v>
      </c>
      <c r="E2069" s="0" t="inlineStr">
        <is>
          <t>IA BROOKLYN:107035F-3XL</t>
        </is>
      </c>
      <c r="F2069" s="2">
        <v>800107035062</v>
      </c>
      <c r="G2069" s="0" t="inlineStr">
        <is>
          <t>WOMENS</t>
        </is>
      </c>
      <c r="H2069" s="0" t="inlineStr">
        <is>
          <t>3XL</t>
        </is>
      </c>
      <c r="I2069" s="0">
        <v>44.99</v>
      </c>
      <c r="J2069" s="0">
        <v>0</v>
      </c>
    </row>
    <row r="2070" spans="1:10" customHeight="0">
      <c r="A2070" s="0">
        <f>HYPERLINK("https://dl.dropboxusercontent.com/scl/fi/dcedu943dan1os7vjujn1/vrtl-iowa-auden-bk-v1.jpg?rlkey=owtishhqtsc7lb2qrrurpr90h&amp;dl=0","Click to download Image")</f>
      </c>
      <c r="C2070" s="0" t="inlineStr">
        <is>
          <t>Auden Non-Woven Tote</t>
        </is>
      </c>
      <c r="D2070" s="1">
        <v>158267</v>
      </c>
      <c r="E2070" s="0" t="inlineStr">
        <is>
          <t>IOWA AUDEN BK:158267</t>
        </is>
      </c>
      <c r="F2070" s="2">
        <v>900158267013</v>
      </c>
      <c r="H2070" s="0" t="inlineStr">
        <is>
          <t>OS</t>
        </is>
      </c>
      <c r="I2070" s="0">
        <v>14.99</v>
      </c>
      <c r="J2070" s="0">
        <v>2</v>
      </c>
    </row>
    <row r="2071" spans="1:10" customHeight="0">
      <c r="A2071" s="0">
        <f>HYPERLINK("https://dl.dropboxusercontent.com/scl/fi/2jt884ejrsp4hh5sgv2l0/113901-af.jpg?rlkey=iwb8kkexit2i7hfu69b147l6y&amp;dl=0","Click to download Image")</f>
      </c>
      <c r="B2071" s="0">
        <f>HYPERLINK("https://dl.dropboxusercontent.com/scl/fi/nta5qtrwoqkwg6igxbd7j/mens-polo-size-chartsbruce.jpg?rlkey=g178as5xqnvjik19t0t9o10b7&amp;dl=0","Click to download SizeChart")</f>
      </c>
      <c r="C2071" s="0" t="inlineStr">
        <is>
          <t>Bruce Men's Golf Polo</t>
        </is>
      </c>
      <c r="D2071" s="1">
        <v>113901</v>
      </c>
      <c r="E2071" s="0" t="inlineStr">
        <is>
          <t>IOWA BRUCE MENS WHITE:113901A-S</t>
        </is>
      </c>
      <c r="F2071" s="2">
        <v>800113901047</v>
      </c>
      <c r="G2071" s="0" t="inlineStr">
        <is>
          <t>MENS</t>
        </is>
      </c>
      <c r="H2071" s="0" t="inlineStr">
        <is>
          <t>S</t>
        </is>
      </c>
      <c r="I2071" s="0">
        <v>40.99</v>
      </c>
      <c r="J2071" s="0">
        <v>5</v>
      </c>
    </row>
    <row r="2072" spans="1:10" customHeight="0">
      <c r="A2072" s="0">
        <f>HYPERLINK("https://dl.dropboxusercontent.com/scl/fi/2jt884ejrsp4hh5sgv2l0/113901-af.jpg?rlkey=iwb8kkexit2i7hfu69b147l6y&amp;dl=0","Click to download Image")</f>
      </c>
      <c r="B2072" s="0">
        <f>HYPERLINK("https://dl.dropboxusercontent.com/scl/fi/nta5qtrwoqkwg6igxbd7j/mens-polo-size-chartsbruce.jpg?rlkey=g178as5xqnvjik19t0t9o10b7&amp;dl=0","Click to download SizeChart")</f>
      </c>
      <c r="C2072" s="0" t="inlineStr">
        <is>
          <t>Bruce Men's Golf Polo</t>
        </is>
      </c>
      <c r="D2072" s="1">
        <v>113901</v>
      </c>
      <c r="E2072" s="0" t="inlineStr">
        <is>
          <t>IOWA BRUCE MENS WHITE:113901B-M</t>
        </is>
      </c>
      <c r="F2072" s="2">
        <v>800113901054</v>
      </c>
      <c r="G2072" s="0" t="inlineStr">
        <is>
          <t>MENS</t>
        </is>
      </c>
      <c r="H2072" s="0" t="inlineStr">
        <is>
          <t>M</t>
        </is>
      </c>
      <c r="I2072" s="0">
        <v>40.99</v>
      </c>
      <c r="J2072" s="0">
        <v>12</v>
      </c>
    </row>
    <row r="2073" spans="1:10" customHeight="0">
      <c r="A2073" s="0">
        <f>HYPERLINK("https://dl.dropboxusercontent.com/scl/fi/2jt884ejrsp4hh5sgv2l0/113901-af.jpg?rlkey=iwb8kkexit2i7hfu69b147l6y&amp;dl=0","Click to download Image")</f>
      </c>
      <c r="B2073" s="0">
        <f>HYPERLINK("https://dl.dropboxusercontent.com/scl/fi/nta5qtrwoqkwg6igxbd7j/mens-polo-size-chartsbruce.jpg?rlkey=g178as5xqnvjik19t0t9o10b7&amp;dl=0","Click to download SizeChart")</f>
      </c>
      <c r="C2073" s="0" t="inlineStr">
        <is>
          <t>Bruce Men's Golf Polo</t>
        </is>
      </c>
      <c r="D2073" s="1">
        <v>113901</v>
      </c>
      <c r="E2073" s="0" t="inlineStr">
        <is>
          <t>IOWA BRUCE MENS WHITE:113901C-L</t>
        </is>
      </c>
      <c r="F2073" s="2">
        <v>800113901061</v>
      </c>
      <c r="G2073" s="0" t="inlineStr">
        <is>
          <t>MENS</t>
        </is>
      </c>
      <c r="H2073" s="0" t="inlineStr">
        <is>
          <t>L</t>
        </is>
      </c>
      <c r="I2073" s="0">
        <v>40.99</v>
      </c>
      <c r="J2073" s="0">
        <v>25</v>
      </c>
    </row>
    <row r="2074" spans="1:10" customHeight="0">
      <c r="A2074" s="0">
        <f>HYPERLINK("https://dl.dropboxusercontent.com/scl/fi/2jt884ejrsp4hh5sgv2l0/113901-af.jpg?rlkey=iwb8kkexit2i7hfu69b147l6y&amp;dl=0","Click to download Image")</f>
      </c>
      <c r="B2074" s="0">
        <f>HYPERLINK("https://dl.dropboxusercontent.com/scl/fi/nta5qtrwoqkwg6igxbd7j/mens-polo-size-chartsbruce.jpg?rlkey=g178as5xqnvjik19t0t9o10b7&amp;dl=0","Click to download SizeChart")</f>
      </c>
      <c r="C2074" s="0" t="inlineStr">
        <is>
          <t>Bruce Men's Golf Polo</t>
        </is>
      </c>
      <c r="D2074" s="1">
        <v>113901</v>
      </c>
      <c r="E2074" s="0" t="inlineStr">
        <is>
          <t>IOWA BRUCE MENS WHITE:113901D-XL</t>
        </is>
      </c>
      <c r="F2074" s="2">
        <v>800113901078</v>
      </c>
      <c r="G2074" s="0" t="inlineStr">
        <is>
          <t>MENS</t>
        </is>
      </c>
      <c r="H2074" s="0" t="inlineStr">
        <is>
          <t>XL</t>
        </is>
      </c>
      <c r="I2074" s="0">
        <v>40.99</v>
      </c>
      <c r="J2074" s="0">
        <v>15</v>
      </c>
    </row>
    <row r="2075" spans="1:10" customHeight="0">
      <c r="A2075" s="0">
        <f>HYPERLINK("https://dl.dropboxusercontent.com/scl/fi/2jt884ejrsp4hh5sgv2l0/113901-af.jpg?rlkey=iwb8kkexit2i7hfu69b147l6y&amp;dl=0","Click to download Image")</f>
      </c>
      <c r="B2075" s="0">
        <f>HYPERLINK("https://dl.dropboxusercontent.com/scl/fi/nta5qtrwoqkwg6igxbd7j/mens-polo-size-chartsbruce.jpg?rlkey=g178as5xqnvjik19t0t9o10b7&amp;dl=0","Click to download SizeChart")</f>
      </c>
      <c r="C2075" s="0" t="inlineStr">
        <is>
          <t>Bruce Men's Golf Polo</t>
        </is>
      </c>
      <c r="D2075" s="1">
        <v>113901</v>
      </c>
      <c r="E2075" s="0" t="inlineStr">
        <is>
          <t>IOWA BRUCE MENS WHITE:113901E-2XL</t>
        </is>
      </c>
      <c r="F2075" s="2">
        <v>800113901085</v>
      </c>
      <c r="G2075" s="0" t="inlineStr">
        <is>
          <t>MENS</t>
        </is>
      </c>
      <c r="H2075" s="0" t="inlineStr">
        <is>
          <t>2XL</t>
        </is>
      </c>
      <c r="I2075" s="0">
        <v>42.99</v>
      </c>
      <c r="J2075" s="0">
        <v>16</v>
      </c>
    </row>
    <row r="2076" spans="1:10" customHeight="0">
      <c r="A2076" s="0">
        <f>HYPERLINK("https://dl.dropboxusercontent.com/scl/fi/2jt884ejrsp4hh5sgv2l0/113901-af.jpg?rlkey=iwb8kkexit2i7hfu69b147l6y&amp;dl=0","Click to download Image")</f>
      </c>
      <c r="B2076" s="0">
        <f>HYPERLINK("https://dl.dropboxusercontent.com/scl/fi/nta5qtrwoqkwg6igxbd7j/mens-polo-size-chartsbruce.jpg?rlkey=g178as5xqnvjik19t0t9o10b7&amp;dl=0","Click to download SizeChart")</f>
      </c>
      <c r="C2076" s="0" t="inlineStr">
        <is>
          <t>Bruce Men's Golf Polo</t>
        </is>
      </c>
      <c r="D2076" s="1">
        <v>113901</v>
      </c>
      <c r="E2076" s="0" t="inlineStr">
        <is>
          <t>IOWA BRUCE MENS WHITE:113901F-3XL</t>
        </is>
      </c>
      <c r="F2076" s="2">
        <v>800113901092</v>
      </c>
      <c r="G2076" s="0" t="inlineStr">
        <is>
          <t>MENS</t>
        </is>
      </c>
      <c r="H2076" s="0" t="inlineStr">
        <is>
          <t>3XL</t>
        </is>
      </c>
      <c r="I2076" s="0">
        <v>42.99</v>
      </c>
      <c r="J2076" s="0">
        <v>7</v>
      </c>
    </row>
    <row r="2077" spans="1:10" customHeight="0">
      <c r="A2077" s="0">
        <f>HYPERLINK("https://dl.dropboxusercontent.com/scl/fi/2jt884ejrsp4hh5sgv2l0/113901-af.jpg?rlkey=iwb8kkexit2i7hfu69b147l6y&amp;dl=0","Click to download Image")</f>
      </c>
      <c r="B2077" s="0">
        <f>HYPERLINK("https://dl.dropboxusercontent.com/scl/fi/nta5qtrwoqkwg6igxbd7j/mens-polo-size-chartsbruce.jpg?rlkey=g178as5xqnvjik19t0t9o10b7&amp;dl=0","Click to download SizeChart")</f>
      </c>
      <c r="C2077" s="0" t="inlineStr">
        <is>
          <t>Bruce Men's Golf Polo</t>
        </is>
      </c>
      <c r="D2077" s="1">
        <v>113901</v>
      </c>
      <c r="E2077" s="0" t="inlineStr">
        <is>
          <t>IOWA BRUCE MENS WHITE 12 PACK:113901Z-12PK</t>
        </is>
      </c>
      <c r="F2077" s="2">
        <v>800113901993</v>
      </c>
      <c r="G2077" s="0" t="inlineStr">
        <is>
          <t>MENS</t>
        </is>
      </c>
      <c r="H2077" s="0" t="inlineStr">
        <is>
          <t>12 PACK</t>
        </is>
      </c>
      <c r="I2077" s="0">
        <v>420</v>
      </c>
      <c r="J2077" s="0">
        <v>0</v>
      </c>
    </row>
    <row r="2078" spans="1:10" customHeight="0">
      <c r="A2078" s="0">
        <f>HYPERLINK("https://dl.dropboxusercontent.com/scl/fi/2vamrsxfa09xkinbgfrzb/108141-af.jpg?rlkey=r4bjwcpiidsuhfco897wz5fk9&amp;dl=0","Click to download Image")</f>
      </c>
      <c r="B2078" s="0">
        <f>HYPERLINK("https://dl.dropboxusercontent.com/scl/fi/skkubid83t9f7i3pbiz8s/graphic-update22022-toddler.jpg?rlkey=0io3ueylh9p8aahkxd4hd3t64&amp;dl=0","Click to download SizeChart")</f>
      </c>
      <c r="C2078" s="0" t="inlineStr">
        <is>
          <t>Brooke Toddler Shirt</t>
        </is>
      </c>
      <c r="D2078" s="1">
        <v>112564</v>
      </c>
      <c r="E2078" s="0" t="inlineStr">
        <is>
          <t>IOWA BROOKE TODDLER WHITE:112564A-2T</t>
        </is>
      </c>
      <c r="F2078" s="2">
        <v>800112564083</v>
      </c>
      <c r="G2078" s="0" t="inlineStr">
        <is>
          <t>TODDLER</t>
        </is>
      </c>
      <c r="H2078" s="0" t="inlineStr">
        <is>
          <t>2T</t>
        </is>
      </c>
      <c r="I2078" s="0">
        <v>26.99</v>
      </c>
      <c r="J2078" s="0">
        <v>18</v>
      </c>
    </row>
    <row r="2079" spans="1:10" customHeight="0">
      <c r="A2079" s="0">
        <f>HYPERLINK("https://dl.dropboxusercontent.com/scl/fi/2vamrsxfa09xkinbgfrzb/108141-af.jpg?rlkey=r4bjwcpiidsuhfco897wz5fk9&amp;dl=0","Click to download Image")</f>
      </c>
      <c r="B2079" s="0">
        <f>HYPERLINK("https://dl.dropboxusercontent.com/scl/fi/skkubid83t9f7i3pbiz8s/graphic-update22022-toddler.jpg?rlkey=0io3ueylh9p8aahkxd4hd3t64&amp;dl=0","Click to download SizeChart")</f>
      </c>
      <c r="C2079" s="0" t="inlineStr">
        <is>
          <t>Brooke Toddler Shirt</t>
        </is>
      </c>
      <c r="D2079" s="1">
        <v>112564</v>
      </c>
      <c r="E2079" s="0" t="inlineStr">
        <is>
          <t>IOWA BROOKE TODDLER WHITE:112564B-3T</t>
        </is>
      </c>
      <c r="F2079" s="2">
        <v>800112564090</v>
      </c>
      <c r="G2079" s="0" t="inlineStr">
        <is>
          <t>TODDLER</t>
        </is>
      </c>
      <c r="H2079" s="0" t="inlineStr">
        <is>
          <t>3T</t>
        </is>
      </c>
      <c r="I2079" s="0">
        <v>26.99</v>
      </c>
      <c r="J2079" s="0">
        <v>17</v>
      </c>
    </row>
    <row r="2080" spans="1:10" customHeight="0">
      <c r="A2080" s="0">
        <f>HYPERLINK("https://dl.dropboxusercontent.com/scl/fi/2vamrsxfa09xkinbgfrzb/108141-af.jpg?rlkey=r4bjwcpiidsuhfco897wz5fk9&amp;dl=0","Click to download Image")</f>
      </c>
      <c r="B2080" s="0">
        <f>HYPERLINK("https://dl.dropboxusercontent.com/scl/fi/skkubid83t9f7i3pbiz8s/graphic-update22022-toddler.jpg?rlkey=0io3ueylh9p8aahkxd4hd3t64&amp;dl=0","Click to download SizeChart")</f>
      </c>
      <c r="C2080" s="0" t="inlineStr">
        <is>
          <t>Brooke Toddler Shirt</t>
        </is>
      </c>
      <c r="D2080" s="1">
        <v>112564</v>
      </c>
      <c r="E2080" s="0" t="inlineStr">
        <is>
          <t>IOWA BROOKE TODDLER WHITE:112564C-4T</t>
        </is>
      </c>
      <c r="F2080" s="2">
        <v>800112564106</v>
      </c>
      <c r="G2080" s="0" t="inlineStr">
        <is>
          <t>TODDLER</t>
        </is>
      </c>
      <c r="H2080" s="0" t="inlineStr">
        <is>
          <t>4T</t>
        </is>
      </c>
      <c r="I2080" s="0">
        <v>26.99</v>
      </c>
      <c r="J2080" s="0">
        <v>18</v>
      </c>
    </row>
    <row r="2081" spans="1:10" customHeight="0">
      <c r="A2081" s="0">
        <f>HYPERLINK("https://dl.dropboxusercontent.com/scl/fi/2vamrsxfa09xkinbgfrzb/108141-af.jpg?rlkey=r4bjwcpiidsuhfco897wz5fk9&amp;dl=0","Click to download Image")</f>
      </c>
      <c r="B2081" s="0">
        <f>HYPERLINK("https://dl.dropboxusercontent.com/scl/fi/skkubid83t9f7i3pbiz8s/graphic-update22022-toddler.jpg?rlkey=0io3ueylh9p8aahkxd4hd3t64&amp;dl=0","Click to download SizeChart")</f>
      </c>
      <c r="C2081" s="0" t="inlineStr">
        <is>
          <t>Brooke Toddler Shirt</t>
        </is>
      </c>
      <c r="D2081" s="1">
        <v>112564</v>
      </c>
      <c r="E2081" s="0" t="inlineStr">
        <is>
          <t>IOWA BROOKE TODDLER WHITE:112564D-5T</t>
        </is>
      </c>
      <c r="F2081" s="2">
        <v>800112564113</v>
      </c>
      <c r="G2081" s="0" t="inlineStr">
        <is>
          <t>TODDLER</t>
        </is>
      </c>
      <c r="H2081" s="0" t="inlineStr">
        <is>
          <t>5T</t>
        </is>
      </c>
      <c r="I2081" s="0">
        <v>26.99</v>
      </c>
      <c r="J2081" s="0">
        <v>20</v>
      </c>
    </row>
    <row r="2082" spans="1:10" customHeight="0">
      <c r="A2082" s="0">
        <f>HYPERLINK("https://dl.dropboxusercontent.com/scl/fi/2vamrsxfa09xkinbgfrzb/108141-af.jpg?rlkey=r4bjwcpiidsuhfco897wz5fk9&amp;dl=0","Click to download Image")</f>
      </c>
      <c r="B2082" s="0">
        <f>HYPERLINK("https://dl.dropboxusercontent.com/scl/fi/skkubid83t9f7i3pbiz8s/graphic-update22022-toddler.jpg?rlkey=0io3ueylh9p8aahkxd4hd3t64&amp;dl=0","Click to download SizeChart")</f>
      </c>
      <c r="C2082" s="0" t="inlineStr">
        <is>
          <t>Brooke Toddler Shirt</t>
        </is>
      </c>
      <c r="D2082" s="1">
        <v>112564</v>
      </c>
      <c r="E2082" s="0" t="inlineStr">
        <is>
          <t>IOWA BROOKE TODDLER WHITE 12 PACK:112564Z-12PK</t>
        </is>
      </c>
      <c r="F2082" s="2">
        <v>800112564991</v>
      </c>
      <c r="G2082" s="0" t="inlineStr">
        <is>
          <t>TODDLER</t>
        </is>
      </c>
      <c r="H2082" s="0" t="inlineStr">
        <is>
          <t>12 PACK</t>
        </is>
      </c>
      <c r="I2082" s="0">
        <v>260</v>
      </c>
      <c r="J2082" s="0">
        <v>0</v>
      </c>
    </row>
    <row r="2083" spans="1:10" customHeight="0">
      <c r="A2083" s="0">
        <f>HYPERLINK("https://dl.dropboxusercontent.com/scl/fi/gze8fdla8qsqhciykld8a/99591.jpg?rlkey=9bgjldsry7376j3xedm9lemnh&amp;dl=0","Click to download Image")</f>
      </c>
      <c r="B2083" s="0">
        <f>HYPERLINK("https://dl.dropboxusercontent.com/scl/fi/1u52oen8bzyarxk10ypfa/graphic-update22022-infant.jpg?rlkey=w8q7lx9f4qf61ttbgp2jocxvv&amp;dl=0","Click to download SizeChart")</f>
      </c>
      <c r="C2083" s="0" t="inlineStr">
        <is>
          <t>Camden Infant Set</t>
        </is>
      </c>
      <c r="D2083" s="1">
        <v>99591</v>
      </c>
      <c r="E2083" s="0" t="inlineStr">
        <is>
          <t>CAMDEN:99591A-0-3M</t>
        </is>
      </c>
      <c r="G2083" s="0" t="inlineStr">
        <is>
          <t>INFANT</t>
        </is>
      </c>
      <c r="H2083" s="0" t="inlineStr">
        <is>
          <t>0-3M</t>
        </is>
      </c>
      <c r="I2083" s="0">
        <v>29.99</v>
      </c>
      <c r="J2083" s="0">
        <v>159</v>
      </c>
    </row>
    <row r="2084" spans="1:10" customHeight="0">
      <c r="A2084" s="0">
        <f>HYPERLINK("https://dl.dropboxusercontent.com/scl/fi/gze8fdla8qsqhciykld8a/99591.jpg?rlkey=9bgjldsry7376j3xedm9lemnh&amp;dl=0","Click to download Image")</f>
      </c>
      <c r="B2084" s="0">
        <f>HYPERLINK("https://dl.dropboxusercontent.com/scl/fi/1u52oen8bzyarxk10ypfa/graphic-update22022-infant.jpg?rlkey=w8q7lx9f4qf61ttbgp2jocxvv&amp;dl=0","Click to download SizeChart")</f>
      </c>
      <c r="C2084" s="0" t="inlineStr">
        <is>
          <t>Camden Infant Set</t>
        </is>
      </c>
      <c r="D2084" s="1">
        <v>99591</v>
      </c>
      <c r="E2084" s="0" t="inlineStr">
        <is>
          <t>CAMDEN:99591B-3-6M</t>
        </is>
      </c>
      <c r="G2084" s="0" t="inlineStr">
        <is>
          <t>INFANT</t>
        </is>
      </c>
      <c r="H2084" s="0" t="inlineStr">
        <is>
          <t>3-6M</t>
        </is>
      </c>
      <c r="I2084" s="0">
        <v>29.99</v>
      </c>
      <c r="J2084" s="0">
        <v>128</v>
      </c>
    </row>
    <row r="2085" spans="1:10" customHeight="0">
      <c r="A2085" s="0">
        <f>HYPERLINK("https://dl.dropboxusercontent.com/scl/fi/gze8fdla8qsqhciykld8a/99591.jpg?rlkey=9bgjldsry7376j3xedm9lemnh&amp;dl=0","Click to download Image")</f>
      </c>
      <c r="B2085" s="0">
        <f>HYPERLINK("https://dl.dropboxusercontent.com/scl/fi/1u52oen8bzyarxk10ypfa/graphic-update22022-infant.jpg?rlkey=w8q7lx9f4qf61ttbgp2jocxvv&amp;dl=0","Click to download SizeChart")</f>
      </c>
      <c r="C2085" s="0" t="inlineStr">
        <is>
          <t>Camden Infant Set</t>
        </is>
      </c>
      <c r="D2085" s="1">
        <v>99591</v>
      </c>
      <c r="E2085" s="0" t="inlineStr">
        <is>
          <t>CAMDEN:99591C-6-9M</t>
        </is>
      </c>
      <c r="G2085" s="0" t="inlineStr">
        <is>
          <t>INFANT</t>
        </is>
      </c>
      <c r="H2085" s="0" t="inlineStr">
        <is>
          <t>6-9M</t>
        </is>
      </c>
      <c r="I2085" s="0">
        <v>29.99</v>
      </c>
      <c r="J2085" s="0">
        <v>128</v>
      </c>
    </row>
    <row r="2086" spans="1:10" customHeight="0">
      <c r="A2086" s="0">
        <f>HYPERLINK("https://dl.dropboxusercontent.com/scl/fi/gze8fdla8qsqhciykld8a/99591.jpg?rlkey=9bgjldsry7376j3xedm9lemnh&amp;dl=0","Click to download Image")</f>
      </c>
      <c r="B2086" s="0">
        <f>HYPERLINK("https://dl.dropboxusercontent.com/scl/fi/1u52oen8bzyarxk10ypfa/graphic-update22022-infant.jpg?rlkey=w8q7lx9f4qf61ttbgp2jocxvv&amp;dl=0","Click to download SizeChart")</f>
      </c>
      <c r="C2086" s="0" t="inlineStr">
        <is>
          <t>Camden Infant Set</t>
        </is>
      </c>
      <c r="D2086" s="1">
        <v>99591</v>
      </c>
      <c r="E2086" s="0" t="inlineStr">
        <is>
          <t>CAMDEN:99591D-9-12M</t>
        </is>
      </c>
      <c r="G2086" s="0" t="inlineStr">
        <is>
          <t>INFANT</t>
        </is>
      </c>
      <c r="H2086" s="0" t="inlineStr">
        <is>
          <t>12M</t>
        </is>
      </c>
      <c r="I2086" s="0">
        <v>29.99</v>
      </c>
      <c r="J2086" s="0">
        <v>152</v>
      </c>
    </row>
    <row r="2087" spans="1:10" customHeight="0">
      <c r="A2087" s="0">
        <f>HYPERLINK("https://dl.dropboxusercontent.com/scl/fi/woa9qpq6k58emajee85lg/109892-af.jpg?rlkey=roh9z6094wbaa78fyfjgeittb&amp;dl=0","Click to download Image")</f>
      </c>
      <c r="C2087" s="0" t="inlineStr">
        <is>
          <t>Delray Toddler Cap</t>
        </is>
      </c>
      <c r="D2087" s="1">
        <v>109892</v>
      </c>
      <c r="E2087" s="0" t="inlineStr">
        <is>
          <t>IOWA DELRAY:109892</t>
        </is>
      </c>
      <c r="F2087" s="2">
        <v>700109892017</v>
      </c>
      <c r="G2087" s="0" t="inlineStr">
        <is>
          <t>TODDLER</t>
        </is>
      </c>
      <c r="H2087" s="0" t="inlineStr">
        <is>
          <t>TODDLER</t>
        </is>
      </c>
      <c r="I2087" s="0">
        <v>15.99</v>
      </c>
      <c r="J2087" s="0">
        <v>80</v>
      </c>
    </row>
    <row r="2088" spans="1:10" customHeight="0">
      <c r="A2088" s="0">
        <f>HYPERLINK("https://dl.dropboxusercontent.com/scl/fi/97so0y0l0oyd326thuw3d/101275af.jpg?rlkey=i123wvsaj3cb422igadksxerf&amp;dl=0","Click to download Image")</f>
      </c>
      <c r="C2088" s="0" t="inlineStr">
        <is>
          <t>Cobie Toddler Cap</t>
        </is>
      </c>
      <c r="D2088" s="1">
        <v>101882</v>
      </c>
      <c r="E2088" s="0" t="inlineStr">
        <is>
          <t>COBIE:101882</t>
        </is>
      </c>
      <c r="G2088" s="0" t="inlineStr">
        <is>
          <t>TODDLER</t>
        </is>
      </c>
      <c r="H2088" s="0" t="inlineStr">
        <is>
          <t>TODDLER</t>
        </is>
      </c>
      <c r="I2088" s="0">
        <v>20.99</v>
      </c>
      <c r="J2088" s="0">
        <v>883</v>
      </c>
    </row>
    <row r="2089" spans="1:10" customHeight="0">
      <c r="A2089" s="0">
        <f>HYPERLINK("https://dl.dropboxusercontent.com/scl/fi/8o5m0q0rdph7auno5riqj/109011f48850.jpg?rlkey=gh46pnzo238rlx42ytg6ge7fy&amp;dl=0","Click to download Image")</f>
      </c>
      <c r="B2089" s="0">
        <f>HYPERLINK("https://dl.dropboxusercontent.com/scl/fi/zoatvjm2jsy3f0ya36y03/womens-hoodie-and-sweatshirt-size-charts-olympias.jpg?rlkey=lltd685hgsqujfy88l9xfaqqe&amp;dl=0","Click to download SizeChart")</f>
      </c>
      <c r="C2089" s="0" t="inlineStr">
        <is>
          <t>Olympias Women's Open Back Sweatshirt</t>
        </is>
      </c>
      <c r="D2089" s="1">
        <v>109011</v>
      </c>
      <c r="E2089" s="0" t="inlineStr">
        <is>
          <t>IA OLYMPIAS GREY:109011AA-XS</t>
        </is>
      </c>
      <c r="F2089" s="2">
        <v>800109011019</v>
      </c>
      <c r="G2089" s="0" t="inlineStr">
        <is>
          <t>WOMENS</t>
        </is>
      </c>
      <c r="H2089" s="0" t="inlineStr">
        <is>
          <t>XS</t>
        </is>
      </c>
      <c r="I2089" s="0">
        <v>42.99</v>
      </c>
      <c r="J2089" s="0">
        <v>20</v>
      </c>
    </row>
    <row r="2090" spans="1:10" customHeight="0">
      <c r="A2090" s="0">
        <f>HYPERLINK("https://dl.dropboxusercontent.com/scl/fi/8o5m0q0rdph7auno5riqj/109011f48850.jpg?rlkey=gh46pnzo238rlx42ytg6ge7fy&amp;dl=0","Click to download Image")</f>
      </c>
      <c r="B2090" s="0">
        <f>HYPERLINK("https://dl.dropboxusercontent.com/scl/fi/zoatvjm2jsy3f0ya36y03/womens-hoodie-and-sweatshirt-size-charts-olympias.jpg?rlkey=lltd685hgsqujfy88l9xfaqqe&amp;dl=0","Click to download SizeChart")</f>
      </c>
      <c r="C2090" s="0" t="inlineStr">
        <is>
          <t>Olympias Women's Open Back Sweatshirt</t>
        </is>
      </c>
      <c r="D2090" s="1">
        <v>109011</v>
      </c>
      <c r="E2090" s="0" t="inlineStr">
        <is>
          <t>IA OLYMPIAS GREY:109011A-S</t>
        </is>
      </c>
      <c r="F2090" s="2">
        <v>800109011026</v>
      </c>
      <c r="G2090" s="0" t="inlineStr">
        <is>
          <t>WOMENS</t>
        </is>
      </c>
      <c r="H2090" s="0" t="inlineStr">
        <is>
          <t>S</t>
        </is>
      </c>
      <c r="I2090" s="0">
        <v>42.99</v>
      </c>
      <c r="J2090" s="0">
        <v>14</v>
      </c>
    </row>
    <row r="2091" spans="1:10" customHeight="0">
      <c r="A2091" s="0">
        <f>HYPERLINK("https://dl.dropboxusercontent.com/scl/fi/8o5m0q0rdph7auno5riqj/109011f48850.jpg?rlkey=gh46pnzo238rlx42ytg6ge7fy&amp;dl=0","Click to download Image")</f>
      </c>
      <c r="B2091" s="0">
        <f>HYPERLINK("https://dl.dropboxusercontent.com/scl/fi/zoatvjm2jsy3f0ya36y03/womens-hoodie-and-sweatshirt-size-charts-olympias.jpg?rlkey=lltd685hgsqujfy88l9xfaqqe&amp;dl=0","Click to download SizeChart")</f>
      </c>
      <c r="C2091" s="0" t="inlineStr">
        <is>
          <t>Olympias Women's Open Back Sweatshirt</t>
        </is>
      </c>
      <c r="D2091" s="1">
        <v>109011</v>
      </c>
      <c r="E2091" s="0" t="inlineStr">
        <is>
          <t>IA OLYMPIAS GREY:109011B-M</t>
        </is>
      </c>
      <c r="F2091" s="2">
        <v>800109011033</v>
      </c>
      <c r="G2091" s="0" t="inlineStr">
        <is>
          <t>WOMENS</t>
        </is>
      </c>
      <c r="H2091" s="0" t="inlineStr">
        <is>
          <t>M</t>
        </is>
      </c>
      <c r="I2091" s="0">
        <v>42.99</v>
      </c>
      <c r="J2091" s="0">
        <v>10</v>
      </c>
    </row>
    <row r="2092" spans="1:10" customHeight="0">
      <c r="A2092" s="0">
        <f>HYPERLINK("https://dl.dropboxusercontent.com/scl/fi/8o5m0q0rdph7auno5riqj/109011f48850.jpg?rlkey=gh46pnzo238rlx42ytg6ge7fy&amp;dl=0","Click to download Image")</f>
      </c>
      <c r="B2092" s="0">
        <f>HYPERLINK("https://dl.dropboxusercontent.com/scl/fi/zoatvjm2jsy3f0ya36y03/womens-hoodie-and-sweatshirt-size-charts-olympias.jpg?rlkey=lltd685hgsqujfy88l9xfaqqe&amp;dl=0","Click to download SizeChart")</f>
      </c>
      <c r="C2092" s="0" t="inlineStr">
        <is>
          <t>Olympias Women's Open Back Sweatshirt</t>
        </is>
      </c>
      <c r="D2092" s="1">
        <v>109011</v>
      </c>
      <c r="E2092" s="0" t="inlineStr">
        <is>
          <t>IA OLYMPIAS GREY:109011C-L</t>
        </is>
      </c>
      <c r="F2092" s="2">
        <v>800109011040</v>
      </c>
      <c r="G2092" s="0" t="inlineStr">
        <is>
          <t>WOMENS</t>
        </is>
      </c>
      <c r="H2092" s="0" t="inlineStr">
        <is>
          <t>L</t>
        </is>
      </c>
      <c r="I2092" s="0">
        <v>42.99</v>
      </c>
      <c r="J2092" s="0">
        <v>0</v>
      </c>
    </row>
    <row r="2093" spans="1:10" customHeight="0">
      <c r="A2093" s="0">
        <f>HYPERLINK("https://dl.dropboxusercontent.com/scl/fi/8o5m0q0rdph7auno5riqj/109011f48850.jpg?rlkey=gh46pnzo238rlx42ytg6ge7fy&amp;dl=0","Click to download Image")</f>
      </c>
      <c r="B2093" s="0">
        <f>HYPERLINK("https://dl.dropboxusercontent.com/scl/fi/zoatvjm2jsy3f0ya36y03/womens-hoodie-and-sweatshirt-size-charts-olympias.jpg?rlkey=lltd685hgsqujfy88l9xfaqqe&amp;dl=0","Click to download SizeChart")</f>
      </c>
      <c r="C2093" s="0" t="inlineStr">
        <is>
          <t>Olympias Women's Open Back Sweatshirt</t>
        </is>
      </c>
      <c r="D2093" s="1">
        <v>109011</v>
      </c>
      <c r="E2093" s="0" t="inlineStr">
        <is>
          <t>IA OLYMPIAS GREY:109011D-XL</t>
        </is>
      </c>
      <c r="F2093" s="2">
        <v>800109011057</v>
      </c>
      <c r="G2093" s="0" t="inlineStr">
        <is>
          <t>WOMENS</t>
        </is>
      </c>
      <c r="H2093" s="0" t="inlineStr">
        <is>
          <t>XL</t>
        </is>
      </c>
      <c r="I2093" s="0">
        <v>42.99</v>
      </c>
      <c r="J2093" s="0">
        <v>3</v>
      </c>
    </row>
    <row r="2094" spans="1:10" customHeight="0">
      <c r="A2094" s="0">
        <f>HYPERLINK("https://dl.dropboxusercontent.com/scl/fi/smm2wqaevadbk81iubovw/olympias18671.jpg?rlkey=a0hvgen3nfx6b75djwsrw4607&amp;dl=0","Click to download Image")</f>
      </c>
      <c r="B2094" s="0">
        <f>HYPERLINK("https://dl.dropboxusercontent.com/scl/fi/zoatvjm2jsy3f0ya36y03/womens-hoodie-and-sweatshirt-size-charts-olympias.jpg?rlkey=lltd685hgsqujfy88l9xfaqqe&amp;dl=0","Click to download SizeChart")</f>
      </c>
      <c r="C2094" s="0" t="inlineStr">
        <is>
          <t>Olympias Women's Open Back Sweatshirt</t>
        </is>
      </c>
      <c r="D2094" s="1">
        <v>107341</v>
      </c>
      <c r="E2094" s="0" t="inlineStr">
        <is>
          <t>IA OLYMPIAS:107341AA-XS</t>
        </is>
      </c>
      <c r="F2094" s="2">
        <v>800107341019</v>
      </c>
      <c r="G2094" s="0" t="inlineStr">
        <is>
          <t>WOMENS</t>
        </is>
      </c>
      <c r="H2094" s="0" t="inlineStr">
        <is>
          <t>XS</t>
        </is>
      </c>
      <c r="I2094" s="0">
        <v>42.99</v>
      </c>
      <c r="J2094" s="0">
        <v>57</v>
      </c>
    </row>
    <row r="2095" spans="1:10" customHeight="0">
      <c r="A2095" s="0">
        <f>HYPERLINK("https://dl.dropboxusercontent.com/scl/fi/smm2wqaevadbk81iubovw/olympias18671.jpg?rlkey=a0hvgen3nfx6b75djwsrw4607&amp;dl=0","Click to download Image")</f>
      </c>
      <c r="B2095" s="0">
        <f>HYPERLINK("https://dl.dropboxusercontent.com/scl/fi/zoatvjm2jsy3f0ya36y03/womens-hoodie-and-sweatshirt-size-charts-olympias.jpg?rlkey=lltd685hgsqujfy88l9xfaqqe&amp;dl=0","Click to download SizeChart")</f>
      </c>
      <c r="C2095" s="0" t="inlineStr">
        <is>
          <t>Olympias Women's Open Back Sweatshirt</t>
        </is>
      </c>
      <c r="D2095" s="1">
        <v>107341</v>
      </c>
      <c r="E2095" s="0" t="inlineStr">
        <is>
          <t>IA OLYMPIAS:107341A-S</t>
        </is>
      </c>
      <c r="F2095" s="2">
        <v>800107341026</v>
      </c>
      <c r="G2095" s="0" t="inlineStr">
        <is>
          <t>WOMENS</t>
        </is>
      </c>
      <c r="H2095" s="0" t="inlineStr">
        <is>
          <t>S</t>
        </is>
      </c>
      <c r="I2095" s="0">
        <v>42.99</v>
      </c>
      <c r="J2095" s="0">
        <v>88</v>
      </c>
    </row>
    <row r="2096" spans="1:10" customHeight="0">
      <c r="A2096" s="0">
        <f>HYPERLINK("https://dl.dropboxusercontent.com/scl/fi/smm2wqaevadbk81iubovw/olympias18671.jpg?rlkey=a0hvgen3nfx6b75djwsrw4607&amp;dl=0","Click to download Image")</f>
      </c>
      <c r="B2096" s="0">
        <f>HYPERLINK("https://dl.dropboxusercontent.com/scl/fi/zoatvjm2jsy3f0ya36y03/womens-hoodie-and-sweatshirt-size-charts-olympias.jpg?rlkey=lltd685hgsqujfy88l9xfaqqe&amp;dl=0","Click to download SizeChart")</f>
      </c>
      <c r="C2096" s="0" t="inlineStr">
        <is>
          <t>Olympias Women's Open Back Sweatshirt</t>
        </is>
      </c>
      <c r="D2096" s="1">
        <v>107341</v>
      </c>
      <c r="E2096" s="0" t="inlineStr">
        <is>
          <t>IA OLYMPIAS:107341B-M</t>
        </is>
      </c>
      <c r="F2096" s="2">
        <v>800107341033</v>
      </c>
      <c r="G2096" s="0" t="inlineStr">
        <is>
          <t>WOMENS</t>
        </is>
      </c>
      <c r="H2096" s="0" t="inlineStr">
        <is>
          <t>M</t>
        </is>
      </c>
      <c r="I2096" s="0">
        <v>42.99</v>
      </c>
      <c r="J2096" s="0">
        <v>92</v>
      </c>
    </row>
    <row r="2097" spans="1:10" customHeight="0">
      <c r="A2097" s="0">
        <f>HYPERLINK("https://dl.dropboxusercontent.com/scl/fi/smm2wqaevadbk81iubovw/olympias18671.jpg?rlkey=a0hvgen3nfx6b75djwsrw4607&amp;dl=0","Click to download Image")</f>
      </c>
      <c r="B2097" s="0">
        <f>HYPERLINK("https://dl.dropboxusercontent.com/scl/fi/zoatvjm2jsy3f0ya36y03/womens-hoodie-and-sweatshirt-size-charts-olympias.jpg?rlkey=lltd685hgsqujfy88l9xfaqqe&amp;dl=0","Click to download SizeChart")</f>
      </c>
      <c r="C2097" s="0" t="inlineStr">
        <is>
          <t>Olympias Women's Open Back Sweatshirt</t>
        </is>
      </c>
      <c r="D2097" s="1">
        <v>107341</v>
      </c>
      <c r="E2097" s="0" t="inlineStr">
        <is>
          <t>IA OLYMPIAS:107341C-L</t>
        </is>
      </c>
      <c r="F2097" s="2">
        <v>800107341040</v>
      </c>
      <c r="G2097" s="0" t="inlineStr">
        <is>
          <t>WOMENS</t>
        </is>
      </c>
      <c r="H2097" s="0" t="inlineStr">
        <is>
          <t>L</t>
        </is>
      </c>
      <c r="I2097" s="0">
        <v>42.99</v>
      </c>
      <c r="J2097" s="0">
        <v>77</v>
      </c>
    </row>
    <row r="2098" spans="1:10" customHeight="0">
      <c r="A2098" s="0">
        <f>HYPERLINK("https://dl.dropboxusercontent.com/scl/fi/smm2wqaevadbk81iubovw/olympias18671.jpg?rlkey=a0hvgen3nfx6b75djwsrw4607&amp;dl=0","Click to download Image")</f>
      </c>
      <c r="B2098" s="0">
        <f>HYPERLINK("https://dl.dropboxusercontent.com/scl/fi/zoatvjm2jsy3f0ya36y03/womens-hoodie-and-sweatshirt-size-charts-olympias.jpg?rlkey=lltd685hgsqujfy88l9xfaqqe&amp;dl=0","Click to download SizeChart")</f>
      </c>
      <c r="C2098" s="0" t="inlineStr">
        <is>
          <t>Olympias Women's Open Back Sweatshirt</t>
        </is>
      </c>
      <c r="D2098" s="1">
        <v>107341</v>
      </c>
      <c r="E2098" s="0" t="inlineStr">
        <is>
          <t>IA OLYMPIAS:107341D-XL</t>
        </is>
      </c>
      <c r="F2098" s="2">
        <v>800107341053</v>
      </c>
      <c r="G2098" s="0" t="inlineStr">
        <is>
          <t>WOMENS</t>
        </is>
      </c>
      <c r="H2098" s="0" t="inlineStr">
        <is>
          <t>XL</t>
        </is>
      </c>
      <c r="I2098" s="0">
        <v>42.99</v>
      </c>
      <c r="J2098" s="0">
        <v>44</v>
      </c>
    </row>
    <row r="2099" spans="1:10" customHeight="0">
      <c r="A2099" s="0">
        <f>HYPERLINK("https://dl.dropboxusercontent.com/scl/fi/wvua3mo0sxhstdm3g5d7u/113170-af.jpg?rlkey=6d0a5n3dngg86tk4ffxaraijm&amp;dl=0","Click to download Image")</f>
      </c>
      <c r="B2099" s="0">
        <f>HYPERLINK("https://dl.dropboxusercontent.com/scl/fi/fqw40za8db9qyhj1jn5td/womens-size-chartsdrift.jpg?rlkey=tvq827otoh6u1eurrkrwoy6wk&amp;dl=0","Click to download SizeChart")</f>
      </c>
      <c r="C2099" s="0" t="inlineStr">
        <is>
          <t>Drift Women's Leggings</t>
        </is>
      </c>
      <c r="D2099" s="1">
        <v>113170</v>
      </c>
      <c r="E2099" s="0" t="inlineStr">
        <is>
          <t>IOWA DRIFT W BLACK:113170A-S</t>
        </is>
      </c>
      <c r="F2099" s="2">
        <v>800113170016</v>
      </c>
      <c r="G2099" s="0" t="inlineStr">
        <is>
          <t>WOMENS</t>
        </is>
      </c>
      <c r="H2099" s="0" t="inlineStr">
        <is>
          <t>S</t>
        </is>
      </c>
      <c r="I2099" s="0">
        <v>34.99</v>
      </c>
      <c r="J2099" s="0">
        <v>3</v>
      </c>
    </row>
    <row r="2100" spans="1:10" customHeight="0">
      <c r="A2100" s="0">
        <f>HYPERLINK("https://dl.dropboxusercontent.com/scl/fi/wvua3mo0sxhstdm3g5d7u/113170-af.jpg?rlkey=6d0a5n3dngg86tk4ffxaraijm&amp;dl=0","Click to download Image")</f>
      </c>
      <c r="B2100" s="0">
        <f>HYPERLINK("https://dl.dropboxusercontent.com/scl/fi/fqw40za8db9qyhj1jn5td/womens-size-chartsdrift.jpg?rlkey=tvq827otoh6u1eurrkrwoy6wk&amp;dl=0","Click to download SizeChart")</f>
      </c>
      <c r="C2100" s="0" t="inlineStr">
        <is>
          <t>Drift Women's Leggings</t>
        </is>
      </c>
      <c r="D2100" s="1">
        <v>113170</v>
      </c>
      <c r="E2100" s="0" t="inlineStr">
        <is>
          <t>IOWA DRIFT W BLACK:113170B-M</t>
        </is>
      </c>
      <c r="F2100" s="2">
        <v>800113170023</v>
      </c>
      <c r="G2100" s="0" t="inlineStr">
        <is>
          <t>WOMENS</t>
        </is>
      </c>
      <c r="H2100" s="0" t="inlineStr">
        <is>
          <t>M</t>
        </is>
      </c>
      <c r="I2100" s="0">
        <v>34.99</v>
      </c>
      <c r="J2100" s="0">
        <v>8</v>
      </c>
    </row>
    <row r="2101" spans="1:10" customHeight="0">
      <c r="A2101" s="0">
        <f>HYPERLINK("https://dl.dropboxusercontent.com/scl/fi/wvua3mo0sxhstdm3g5d7u/113170-af.jpg?rlkey=6d0a5n3dngg86tk4ffxaraijm&amp;dl=0","Click to download Image")</f>
      </c>
      <c r="B2101" s="0">
        <f>HYPERLINK("https://dl.dropboxusercontent.com/scl/fi/fqw40za8db9qyhj1jn5td/womens-size-chartsdrift.jpg?rlkey=tvq827otoh6u1eurrkrwoy6wk&amp;dl=0","Click to download SizeChart")</f>
      </c>
      <c r="C2101" s="0" t="inlineStr">
        <is>
          <t>Drift Women's Leggings</t>
        </is>
      </c>
      <c r="D2101" s="1">
        <v>113170</v>
      </c>
      <c r="E2101" s="0" t="inlineStr">
        <is>
          <t>IOWA DRIFT W BLACK:113170C-L</t>
        </is>
      </c>
      <c r="F2101" s="2">
        <v>800113170030</v>
      </c>
      <c r="G2101" s="0" t="inlineStr">
        <is>
          <t>WOMENS</t>
        </is>
      </c>
      <c r="H2101" s="0" t="inlineStr">
        <is>
          <t>L</t>
        </is>
      </c>
      <c r="I2101" s="0">
        <v>34.99</v>
      </c>
      <c r="J2101" s="0">
        <v>2</v>
      </c>
    </row>
    <row r="2102" spans="1:10" customHeight="0">
      <c r="A2102" s="0">
        <f>HYPERLINK("https://dl.dropboxusercontent.com/scl/fi/wvua3mo0sxhstdm3g5d7u/113170-af.jpg?rlkey=6d0a5n3dngg86tk4ffxaraijm&amp;dl=0","Click to download Image")</f>
      </c>
      <c r="B2102" s="0">
        <f>HYPERLINK("https://dl.dropboxusercontent.com/scl/fi/fqw40za8db9qyhj1jn5td/womens-size-chartsdrift.jpg?rlkey=tvq827otoh6u1eurrkrwoy6wk&amp;dl=0","Click to download SizeChart")</f>
      </c>
      <c r="C2102" s="0" t="inlineStr">
        <is>
          <t>Drift Women's Leggings</t>
        </is>
      </c>
      <c r="D2102" s="1">
        <v>113170</v>
      </c>
      <c r="E2102" s="0" t="inlineStr">
        <is>
          <t>IOWA DRIFT W BLACK:113170D-XL</t>
        </is>
      </c>
      <c r="F2102" s="2">
        <v>800113170047</v>
      </c>
      <c r="G2102" s="0" t="inlineStr">
        <is>
          <t>WOMENS</t>
        </is>
      </c>
      <c r="H2102" s="0" t="inlineStr">
        <is>
          <t>XL</t>
        </is>
      </c>
      <c r="I2102" s="0">
        <v>34.99</v>
      </c>
      <c r="J2102" s="0">
        <v>3</v>
      </c>
    </row>
    <row r="2103" spans="1:10" customHeight="0">
      <c r="A2103" s="0">
        <f>HYPERLINK("https://dl.dropboxusercontent.com/scl/fi/wvua3mo0sxhstdm3g5d7u/113170-af.jpg?rlkey=6d0a5n3dngg86tk4ffxaraijm&amp;dl=0","Click to download Image")</f>
      </c>
      <c r="B2103" s="0">
        <f>HYPERLINK("https://dl.dropboxusercontent.com/scl/fi/fqw40za8db9qyhj1jn5td/womens-size-chartsdrift.jpg?rlkey=tvq827otoh6u1eurrkrwoy6wk&amp;dl=0","Click to download SizeChart")</f>
      </c>
      <c r="C2103" s="0" t="inlineStr">
        <is>
          <t>Drift Women's Leggings</t>
        </is>
      </c>
      <c r="D2103" s="1">
        <v>113170</v>
      </c>
      <c r="E2103" s="0" t="inlineStr">
        <is>
          <t>IOWA DRIFT W BLACK:113170E-2XL</t>
        </is>
      </c>
      <c r="F2103" s="2">
        <v>800113170054</v>
      </c>
      <c r="G2103" s="0" t="inlineStr">
        <is>
          <t>WOMENS</t>
        </is>
      </c>
      <c r="H2103" s="0" t="inlineStr">
        <is>
          <t>2XL</t>
        </is>
      </c>
      <c r="I2103" s="0">
        <v>36.99</v>
      </c>
      <c r="J2103" s="0">
        <v>0</v>
      </c>
    </row>
    <row r="2104" spans="1:10" customHeight="0">
      <c r="A2104" s="0">
        <f>HYPERLINK("https://dl.dropboxusercontent.com/scl/fi/wvua3mo0sxhstdm3g5d7u/113170-af.jpg?rlkey=6d0a5n3dngg86tk4ffxaraijm&amp;dl=0","Click to download Image")</f>
      </c>
      <c r="B2104" s="0">
        <f>HYPERLINK("https://dl.dropboxusercontent.com/scl/fi/fqw40za8db9qyhj1jn5td/womens-size-chartsdrift.jpg?rlkey=tvq827otoh6u1eurrkrwoy6wk&amp;dl=0","Click to download SizeChart")</f>
      </c>
      <c r="C2104" s="0" t="inlineStr">
        <is>
          <t>Drift Women's Leggings</t>
        </is>
      </c>
      <c r="D2104" s="1">
        <v>113170</v>
      </c>
      <c r="E2104" s="0" t="inlineStr">
        <is>
          <t>IOWA DRIFT W BLACK:113170F-3XL</t>
        </is>
      </c>
      <c r="F2104" s="2">
        <v>800113170061</v>
      </c>
      <c r="G2104" s="0" t="inlineStr">
        <is>
          <t>WOMENS</t>
        </is>
      </c>
      <c r="H2104" s="0" t="inlineStr">
        <is>
          <t>3XL</t>
        </is>
      </c>
      <c r="I2104" s="0">
        <v>36.99</v>
      </c>
      <c r="J2104" s="0">
        <v>0</v>
      </c>
    </row>
    <row r="2105" spans="1:10" customHeight="0">
      <c r="A2105" s="0">
        <f>HYPERLINK("https://dl.dropboxusercontent.com/scl/fi/wvua3mo0sxhstdm3g5d7u/113170-af.jpg?rlkey=6d0a5n3dngg86tk4ffxaraijm&amp;dl=0","Click to download Image")</f>
      </c>
      <c r="B2105" s="0">
        <f>HYPERLINK("https://dl.dropboxusercontent.com/scl/fi/fqw40za8db9qyhj1jn5td/womens-size-chartsdrift.jpg?rlkey=tvq827otoh6u1eurrkrwoy6wk&amp;dl=0","Click to download SizeChart")</f>
      </c>
      <c r="C2105" s="0" t="inlineStr">
        <is>
          <t>Drift Women's Leggings</t>
        </is>
      </c>
      <c r="D2105" s="1">
        <v>113170</v>
      </c>
      <c r="E2105" s="0" t="inlineStr">
        <is>
          <t>IOWA DRIFT W BLACK 12 PACK:113170Z-12PK</t>
        </is>
      </c>
      <c r="F2105" s="2">
        <v>800113170993</v>
      </c>
      <c r="G2105" s="0" t="inlineStr">
        <is>
          <t>WOMENS</t>
        </is>
      </c>
      <c r="H2105" s="0" t="inlineStr">
        <is>
          <t>12 PACK</t>
        </is>
      </c>
      <c r="I2105" s="0">
        <v>360</v>
      </c>
      <c r="J2105" s="0">
        <v>0</v>
      </c>
    </row>
    <row r="2106" spans="1:10" customHeight="0">
      <c r="A2106" s="0">
        <f>HYPERLINK("https://dl.dropboxusercontent.com/scl/fi/yfesbj6uh06rxvtoryca2/101415-af.jpg?rlkey=qk8xyiejazvkwujp5fc4ysy55&amp;dl=0","Click to download Image")</f>
      </c>
      <c r="C2106" s="0" t="inlineStr">
        <is>
          <t>Duke Laptop Backpack</t>
        </is>
      </c>
      <c r="D2106" s="1">
        <v>101415</v>
      </c>
      <c r="E2106" s="0" t="inlineStr">
        <is>
          <t>DUKE:101415</t>
        </is>
      </c>
      <c r="I2106" s="0">
        <v>49.99</v>
      </c>
      <c r="J2106" s="0">
        <v>210</v>
      </c>
    </row>
    <row r="2107" spans="1:10" customHeight="0">
      <c r="A2107" s="0">
        <f>HYPERLINK("https://dl.dropboxusercontent.com/scl/fi/t4ejoc41zoblw383skq07/110490-af.jpg?rlkey=xhlb9e3ka46b4vf6gmqkbb1c7&amp;dl=0","Click to download Image")</f>
      </c>
      <c r="B2107" s="0">
        <f>HYPERLINK("https://dl.dropboxusercontent.com/scl/fi/3e5kpj23d4u9jseeys92d/womens-hoodie-and-sweatshirt-size-chartselaina.jpg?rlkey=8oqg0m5ij5u3r6skgwbiylr8d&amp;dl=0","Click to download SizeChart")</f>
      </c>
      <c r="C2107" s="0" t="inlineStr">
        <is>
          <t>Elaina Women's Hoodie</t>
        </is>
      </c>
      <c r="D2107" s="1">
        <v>110490</v>
      </c>
      <c r="E2107" s="0" t="inlineStr">
        <is>
          <t>IOWA ELAINA BLACK:110490A-S</t>
        </is>
      </c>
      <c r="F2107" s="2">
        <v>800110490018</v>
      </c>
      <c r="G2107" s="0" t="inlineStr">
        <is>
          <t>WOMENS</t>
        </is>
      </c>
      <c r="H2107" s="0" t="inlineStr">
        <is>
          <t>S</t>
        </is>
      </c>
      <c r="I2107" s="0">
        <v>45.99</v>
      </c>
      <c r="J2107" s="0">
        <v>35</v>
      </c>
    </row>
    <row r="2108" spans="1:10" customHeight="0">
      <c r="A2108" s="0">
        <f>HYPERLINK("https://dl.dropboxusercontent.com/scl/fi/t4ejoc41zoblw383skq07/110490-af.jpg?rlkey=xhlb9e3ka46b4vf6gmqkbb1c7&amp;dl=0","Click to download Image")</f>
      </c>
      <c r="B2108" s="0">
        <f>HYPERLINK("https://dl.dropboxusercontent.com/scl/fi/3e5kpj23d4u9jseeys92d/womens-hoodie-and-sweatshirt-size-chartselaina.jpg?rlkey=8oqg0m5ij5u3r6skgwbiylr8d&amp;dl=0","Click to download SizeChart")</f>
      </c>
      <c r="C2108" s="0" t="inlineStr">
        <is>
          <t>Elaina Women's Hoodie</t>
        </is>
      </c>
      <c r="D2108" s="1">
        <v>110490</v>
      </c>
      <c r="E2108" s="0" t="inlineStr">
        <is>
          <t>IOWA ELAINA BLACK:110490B-M</t>
        </is>
      </c>
      <c r="F2108" s="2">
        <v>800110490025</v>
      </c>
      <c r="G2108" s="0" t="inlineStr">
        <is>
          <t>WOMENS</t>
        </is>
      </c>
      <c r="H2108" s="0" t="inlineStr">
        <is>
          <t>M</t>
        </is>
      </c>
      <c r="I2108" s="0">
        <v>45.99</v>
      </c>
      <c r="J2108" s="0">
        <v>74</v>
      </c>
    </row>
    <row r="2109" spans="1:10" customHeight="0">
      <c r="A2109" s="0">
        <f>HYPERLINK("https://dl.dropboxusercontent.com/scl/fi/t4ejoc41zoblw383skq07/110490-af.jpg?rlkey=xhlb9e3ka46b4vf6gmqkbb1c7&amp;dl=0","Click to download Image")</f>
      </c>
      <c r="B2109" s="0">
        <f>HYPERLINK("https://dl.dropboxusercontent.com/scl/fi/3e5kpj23d4u9jseeys92d/womens-hoodie-and-sweatshirt-size-chartselaina.jpg?rlkey=8oqg0m5ij5u3r6skgwbiylr8d&amp;dl=0","Click to download SizeChart")</f>
      </c>
      <c r="C2109" s="0" t="inlineStr">
        <is>
          <t>Elaina Women's Hoodie</t>
        </is>
      </c>
      <c r="D2109" s="1">
        <v>110490</v>
      </c>
      <c r="E2109" s="0" t="inlineStr">
        <is>
          <t>IOWA ELAINA BLACK:110490C-L</t>
        </is>
      </c>
      <c r="F2109" s="2">
        <v>800110490032</v>
      </c>
      <c r="G2109" s="0" t="inlineStr">
        <is>
          <t>WOMENS</t>
        </is>
      </c>
      <c r="H2109" s="0" t="inlineStr">
        <is>
          <t>L</t>
        </is>
      </c>
      <c r="I2109" s="0">
        <v>45.99</v>
      </c>
      <c r="J2109" s="0">
        <v>79</v>
      </c>
    </row>
    <row r="2110" spans="1:10" customHeight="0">
      <c r="A2110" s="0">
        <f>HYPERLINK("https://dl.dropboxusercontent.com/scl/fi/t4ejoc41zoblw383skq07/110490-af.jpg?rlkey=xhlb9e3ka46b4vf6gmqkbb1c7&amp;dl=0","Click to download Image")</f>
      </c>
      <c r="B2110" s="0">
        <f>HYPERLINK("https://dl.dropboxusercontent.com/scl/fi/3e5kpj23d4u9jseeys92d/womens-hoodie-and-sweatshirt-size-chartselaina.jpg?rlkey=8oqg0m5ij5u3r6skgwbiylr8d&amp;dl=0","Click to download SizeChart")</f>
      </c>
      <c r="C2110" s="0" t="inlineStr">
        <is>
          <t>Elaina Women's Hoodie</t>
        </is>
      </c>
      <c r="D2110" s="1">
        <v>110490</v>
      </c>
      <c r="E2110" s="0" t="inlineStr">
        <is>
          <t>IOWA ELAINA BLACK:110490D-XL</t>
        </is>
      </c>
      <c r="F2110" s="2">
        <v>800110490070</v>
      </c>
      <c r="G2110" s="0" t="inlineStr">
        <is>
          <t>WOMENS</t>
        </is>
      </c>
      <c r="H2110" s="0" t="inlineStr">
        <is>
          <t>XL</t>
        </is>
      </c>
      <c r="I2110" s="0">
        <v>45.99</v>
      </c>
      <c r="J2110" s="0">
        <v>26</v>
      </c>
    </row>
    <row r="2111" spans="1:10" customHeight="0">
      <c r="A2111" s="0">
        <f>HYPERLINK("https://dl.dropboxusercontent.com/scl/fi/t4ejoc41zoblw383skq07/110490-af.jpg?rlkey=xhlb9e3ka46b4vf6gmqkbb1c7&amp;dl=0","Click to download Image")</f>
      </c>
      <c r="B2111" s="0">
        <f>HYPERLINK("https://dl.dropboxusercontent.com/scl/fi/3e5kpj23d4u9jseeys92d/womens-hoodie-and-sweatshirt-size-chartselaina.jpg?rlkey=8oqg0m5ij5u3r6skgwbiylr8d&amp;dl=0","Click to download SizeChart")</f>
      </c>
      <c r="C2111" s="0" t="inlineStr">
        <is>
          <t>Elaina Women's Hoodie</t>
        </is>
      </c>
      <c r="D2111" s="1">
        <v>110490</v>
      </c>
      <c r="E2111" s="0" t="inlineStr">
        <is>
          <t>IOWA ELAINA BLACK:110490E-2XL</t>
        </is>
      </c>
      <c r="F2111" s="2">
        <v>800110490087</v>
      </c>
      <c r="G2111" s="0" t="inlineStr">
        <is>
          <t>WOMENS</t>
        </is>
      </c>
      <c r="H2111" s="0" t="inlineStr">
        <is>
          <t>2XL</t>
        </is>
      </c>
      <c r="I2111" s="0">
        <v>47.99</v>
      </c>
      <c r="J2111" s="0">
        <v>13</v>
      </c>
    </row>
    <row r="2112" spans="1:10" customHeight="0">
      <c r="A2112" s="0">
        <f>HYPERLINK("https://dl.dropboxusercontent.com/scl/fi/t4ejoc41zoblw383skq07/110490-af.jpg?rlkey=xhlb9e3ka46b4vf6gmqkbb1c7&amp;dl=0","Click to download Image")</f>
      </c>
      <c r="B2112" s="0">
        <f>HYPERLINK("https://dl.dropboxusercontent.com/scl/fi/3e5kpj23d4u9jseeys92d/womens-hoodie-and-sweatshirt-size-chartselaina.jpg?rlkey=8oqg0m5ij5u3r6skgwbiylr8d&amp;dl=0","Click to download SizeChart")</f>
      </c>
      <c r="C2112" s="0" t="inlineStr">
        <is>
          <t>Elaina Women's Hoodie</t>
        </is>
      </c>
      <c r="D2112" s="1">
        <v>110490</v>
      </c>
      <c r="E2112" s="0" t="inlineStr">
        <is>
          <t>IOWA ELAINA BLACK:110490F-3XL</t>
        </is>
      </c>
      <c r="F2112" s="2">
        <v>800110490094</v>
      </c>
      <c r="G2112" s="0" t="inlineStr">
        <is>
          <t>WOMENS</t>
        </is>
      </c>
      <c r="H2112" s="0" t="inlineStr">
        <is>
          <t>3XL</t>
        </is>
      </c>
      <c r="I2112" s="0">
        <v>47.99</v>
      </c>
      <c r="J2112" s="0">
        <v>9</v>
      </c>
    </row>
    <row r="2113" spans="1:10" customHeight="0">
      <c r="A2113" s="0">
        <f>HYPERLINK("https://dl.dropboxusercontent.com/scl/fi/t4ejoc41zoblw383skq07/110490-af.jpg?rlkey=xhlb9e3ka46b4vf6gmqkbb1c7&amp;dl=0","Click to download Image")</f>
      </c>
      <c r="B2113" s="0">
        <f>HYPERLINK("https://dl.dropboxusercontent.com/scl/fi/3e5kpj23d4u9jseeys92d/womens-hoodie-and-sweatshirt-size-chartselaina.jpg?rlkey=8oqg0m5ij5u3r6skgwbiylr8d&amp;dl=0","Click to download SizeChart")</f>
      </c>
      <c r="C2113" s="0" t="inlineStr">
        <is>
          <t>Elaina Women's Hoodie</t>
        </is>
      </c>
      <c r="D2113" s="1">
        <v>110490</v>
      </c>
      <c r="E2113" s="0" t="inlineStr">
        <is>
          <t>IOWA ELAINA BLACK 12 PACK:110490Z-12PK</t>
        </is>
      </c>
      <c r="F2113" s="2">
        <v>800110490995</v>
      </c>
      <c r="G2113" s="0" t="inlineStr">
        <is>
          <t>WOMENS</t>
        </is>
      </c>
      <c r="H2113" s="0" t="inlineStr">
        <is>
          <t>12 PACK</t>
        </is>
      </c>
      <c r="I2113" s="0">
        <v>480</v>
      </c>
      <c r="J2113" s="0">
        <v>0</v>
      </c>
    </row>
    <row r="2114" spans="1:10" customHeight="0">
      <c r="A2114" s="0">
        <f>HYPERLINK("https://dl.dropboxusercontent.com/scl/fi/fqeil76yo2tsstwfoo52m/111671-af.jpg?rlkey=ms5y176i82wg77nhuzxq182rs&amp;dl=0","Click to download Image")</f>
      </c>
      <c r="B2114" s="0">
        <f>HYPERLINK("https://dl.dropboxusercontent.com/scl/fi/3e5kpj23d4u9jseeys92d/womens-hoodie-and-sweatshirt-size-chartselaina.jpg?rlkey=8oqg0m5ij5u3r6skgwbiylr8d&amp;dl=0","Click to download SizeChart")</f>
      </c>
      <c r="C2114" s="0" t="inlineStr">
        <is>
          <t>Elaina Women's Hoodie</t>
        </is>
      </c>
      <c r="D2114" s="1">
        <v>111671</v>
      </c>
      <c r="E2114" s="0" t="inlineStr">
        <is>
          <t>IOWA ELAINA GREY:111671A-S</t>
        </is>
      </c>
      <c r="F2114" s="2">
        <v>800111671041</v>
      </c>
      <c r="G2114" s="0" t="inlineStr">
        <is>
          <t>WOMENS</t>
        </is>
      </c>
      <c r="H2114" s="0" t="inlineStr">
        <is>
          <t>S</t>
        </is>
      </c>
      <c r="I2114" s="0">
        <v>45.99</v>
      </c>
      <c r="J2114" s="0">
        <v>15</v>
      </c>
    </row>
    <row r="2115" spans="1:10" customHeight="0">
      <c r="A2115" s="0">
        <f>HYPERLINK("https://dl.dropboxusercontent.com/scl/fi/fqeil76yo2tsstwfoo52m/111671-af.jpg?rlkey=ms5y176i82wg77nhuzxq182rs&amp;dl=0","Click to download Image")</f>
      </c>
      <c r="B2115" s="0">
        <f>HYPERLINK("https://dl.dropboxusercontent.com/scl/fi/3e5kpj23d4u9jseeys92d/womens-hoodie-and-sweatshirt-size-chartselaina.jpg?rlkey=8oqg0m5ij5u3r6skgwbiylr8d&amp;dl=0","Click to download SizeChart")</f>
      </c>
      <c r="C2115" s="0" t="inlineStr">
        <is>
          <t>Elaina Women's Hoodie</t>
        </is>
      </c>
      <c r="D2115" s="1">
        <v>111671</v>
      </c>
      <c r="E2115" s="0" t="inlineStr">
        <is>
          <t>IOWA ELAINA GREY:111671B-M</t>
        </is>
      </c>
      <c r="F2115" s="2">
        <v>800111671058</v>
      </c>
      <c r="G2115" s="0" t="inlineStr">
        <is>
          <t>WOMENS</t>
        </is>
      </c>
      <c r="H2115" s="0" t="inlineStr">
        <is>
          <t>M</t>
        </is>
      </c>
      <c r="I2115" s="0">
        <v>45.99</v>
      </c>
      <c r="J2115" s="0">
        <v>37</v>
      </c>
    </row>
    <row r="2116" spans="1:10" customHeight="0">
      <c r="A2116" s="0">
        <f>HYPERLINK("https://dl.dropboxusercontent.com/scl/fi/fqeil76yo2tsstwfoo52m/111671-af.jpg?rlkey=ms5y176i82wg77nhuzxq182rs&amp;dl=0","Click to download Image")</f>
      </c>
      <c r="B2116" s="0">
        <f>HYPERLINK("https://dl.dropboxusercontent.com/scl/fi/3e5kpj23d4u9jseeys92d/womens-hoodie-and-sweatshirt-size-chartselaina.jpg?rlkey=8oqg0m5ij5u3r6skgwbiylr8d&amp;dl=0","Click to download SizeChart")</f>
      </c>
      <c r="C2116" s="0" t="inlineStr">
        <is>
          <t>Elaina Women's Hoodie</t>
        </is>
      </c>
      <c r="D2116" s="1">
        <v>111671</v>
      </c>
      <c r="E2116" s="0" t="inlineStr">
        <is>
          <t>IOWA ELAINA GREY:111671C-L</t>
        </is>
      </c>
      <c r="F2116" s="2">
        <v>800111671065</v>
      </c>
      <c r="G2116" s="0" t="inlineStr">
        <is>
          <t>WOMENS</t>
        </is>
      </c>
      <c r="H2116" s="0" t="inlineStr">
        <is>
          <t>L</t>
        </is>
      </c>
      <c r="I2116" s="0">
        <v>45.99</v>
      </c>
      <c r="J2116" s="0">
        <v>36</v>
      </c>
    </row>
    <row r="2117" spans="1:10" customHeight="0">
      <c r="A2117" s="0">
        <f>HYPERLINK("https://dl.dropboxusercontent.com/scl/fi/fqeil76yo2tsstwfoo52m/111671-af.jpg?rlkey=ms5y176i82wg77nhuzxq182rs&amp;dl=0","Click to download Image")</f>
      </c>
      <c r="B2117" s="0">
        <f>HYPERLINK("https://dl.dropboxusercontent.com/scl/fi/3e5kpj23d4u9jseeys92d/womens-hoodie-and-sweatshirt-size-chartselaina.jpg?rlkey=8oqg0m5ij5u3r6skgwbiylr8d&amp;dl=0","Click to download SizeChart")</f>
      </c>
      <c r="C2117" s="0" t="inlineStr">
        <is>
          <t>Elaina Women's Hoodie</t>
        </is>
      </c>
      <c r="D2117" s="1">
        <v>111671</v>
      </c>
      <c r="E2117" s="0" t="inlineStr">
        <is>
          <t>IOWA ELAINA GREY:111671D-XL</t>
        </is>
      </c>
      <c r="F2117" s="2">
        <v>800111671072</v>
      </c>
      <c r="G2117" s="0" t="inlineStr">
        <is>
          <t>WOMENS</t>
        </is>
      </c>
      <c r="H2117" s="0" t="inlineStr">
        <is>
          <t>XL</t>
        </is>
      </c>
      <c r="I2117" s="0">
        <v>45.99</v>
      </c>
      <c r="J2117" s="0">
        <v>14</v>
      </c>
    </row>
    <row r="2118" spans="1:10" customHeight="0">
      <c r="A2118" s="0">
        <f>HYPERLINK("https://dl.dropboxusercontent.com/scl/fi/fqeil76yo2tsstwfoo52m/111671-af.jpg?rlkey=ms5y176i82wg77nhuzxq182rs&amp;dl=0","Click to download Image")</f>
      </c>
      <c r="B2118" s="0">
        <f>HYPERLINK("https://dl.dropboxusercontent.com/scl/fi/3e5kpj23d4u9jseeys92d/womens-hoodie-and-sweatshirt-size-chartselaina.jpg?rlkey=8oqg0m5ij5u3r6skgwbiylr8d&amp;dl=0","Click to download SizeChart")</f>
      </c>
      <c r="C2118" s="0" t="inlineStr">
        <is>
          <t>Elaina Women's Hoodie</t>
        </is>
      </c>
      <c r="D2118" s="1">
        <v>111671</v>
      </c>
      <c r="E2118" s="0" t="inlineStr">
        <is>
          <t>IOWA ELAINA GREY:111671E-2XL</t>
        </is>
      </c>
      <c r="F2118" s="2">
        <v>800111671089</v>
      </c>
      <c r="G2118" s="0" t="inlineStr">
        <is>
          <t>WOMENS</t>
        </is>
      </c>
      <c r="H2118" s="0" t="inlineStr">
        <is>
          <t>2XL</t>
        </is>
      </c>
      <c r="I2118" s="0">
        <v>47.99</v>
      </c>
      <c r="J2118" s="0">
        <v>7</v>
      </c>
    </row>
    <row r="2119" spans="1:10" customHeight="0">
      <c r="A2119" s="0">
        <f>HYPERLINK("https://dl.dropboxusercontent.com/scl/fi/fqeil76yo2tsstwfoo52m/111671-af.jpg?rlkey=ms5y176i82wg77nhuzxq182rs&amp;dl=0","Click to download Image")</f>
      </c>
      <c r="B2119" s="0">
        <f>HYPERLINK("https://dl.dropboxusercontent.com/scl/fi/3e5kpj23d4u9jseeys92d/womens-hoodie-and-sweatshirt-size-chartselaina.jpg?rlkey=8oqg0m5ij5u3r6skgwbiylr8d&amp;dl=0","Click to download SizeChart")</f>
      </c>
      <c r="C2119" s="0" t="inlineStr">
        <is>
          <t>Elaina Women's Hoodie</t>
        </is>
      </c>
      <c r="D2119" s="1">
        <v>111671</v>
      </c>
      <c r="E2119" s="0" t="inlineStr">
        <is>
          <t>IOWA ELAINA GREY:111671F-3XL</t>
        </is>
      </c>
      <c r="F2119" s="2">
        <v>800111671096</v>
      </c>
      <c r="G2119" s="0" t="inlineStr">
        <is>
          <t>WOMENS</t>
        </is>
      </c>
      <c r="H2119" s="0" t="inlineStr">
        <is>
          <t>3XL</t>
        </is>
      </c>
      <c r="I2119" s="0">
        <v>47.99</v>
      </c>
      <c r="J2119" s="0">
        <v>3</v>
      </c>
    </row>
    <row r="2120" spans="1:10" customHeight="0">
      <c r="A2120" s="0">
        <f>HYPERLINK("https://dl.dropboxusercontent.com/scl/fi/fqeil76yo2tsstwfoo52m/111671-af.jpg?rlkey=ms5y176i82wg77nhuzxq182rs&amp;dl=0","Click to download Image")</f>
      </c>
      <c r="B2120" s="0">
        <f>HYPERLINK("https://dl.dropboxusercontent.com/scl/fi/3e5kpj23d4u9jseeys92d/womens-hoodie-and-sweatshirt-size-chartselaina.jpg?rlkey=8oqg0m5ij5u3r6skgwbiylr8d&amp;dl=0","Click to download SizeChart")</f>
      </c>
      <c r="C2120" s="0" t="inlineStr">
        <is>
          <t>Elaina Women's Hoodie</t>
        </is>
      </c>
      <c r="D2120" s="1">
        <v>111671</v>
      </c>
      <c r="E2120" s="0" t="inlineStr">
        <is>
          <t>IOWA ELAINA GREY 12 PACK:111671Z-12PK</t>
        </is>
      </c>
      <c r="F2120" s="2">
        <v>800111671997</v>
      </c>
      <c r="G2120" s="0" t="inlineStr">
        <is>
          <t>WOMENS</t>
        </is>
      </c>
      <c r="H2120" s="0" t="inlineStr">
        <is>
          <t>12 PACK</t>
        </is>
      </c>
      <c r="I2120" s="0">
        <v>480</v>
      </c>
      <c r="J2120" s="0">
        <v>0</v>
      </c>
    </row>
    <row r="2121" spans="1:10" customHeight="0">
      <c r="A2121" s="0">
        <f>HYPERLINK("https://dl.dropboxusercontent.com/scl/fi/3fveatmsk4jfpnpyb0esv/111634-af.jpg?rlkey=koj9gd3o5o7vmk0upiw79ftov&amp;dl=0","Click to download Image")</f>
      </c>
      <c r="B2121" s="0">
        <f>HYPERLINK("https://dl.dropboxusercontent.com/scl/fi/qh0l8sjlj2jupx3pfni9p/graphic-update2022-womens.jpg?rlkey=9mq6bj4hljiq08vzukyjl7568&amp;dl=0","Click to download SizeChart")</f>
      </c>
      <c r="C2121" s="0" t="inlineStr">
        <is>
          <t>Elizabeth Women's Off Shoulder Shirt</t>
        </is>
      </c>
      <c r="D2121" s="1">
        <v>111634</v>
      </c>
      <c r="E2121" s="0" t="inlineStr">
        <is>
          <t>IOWA ELIZABETH BLACK:111634AA-XS</t>
        </is>
      </c>
      <c r="F2121" s="2">
        <v>800111634039</v>
      </c>
      <c r="G2121" s="0" t="inlineStr">
        <is>
          <t>WOMENS</t>
        </is>
      </c>
      <c r="H2121" s="0" t="inlineStr">
        <is>
          <t>XS</t>
        </is>
      </c>
      <c r="I2121" s="0">
        <v>39.99</v>
      </c>
      <c r="J2121" s="0">
        <v>14</v>
      </c>
    </row>
    <row r="2122" spans="1:10" customHeight="0">
      <c r="A2122" s="0">
        <f>HYPERLINK("https://dl.dropboxusercontent.com/scl/fi/3fveatmsk4jfpnpyb0esv/111634-af.jpg?rlkey=koj9gd3o5o7vmk0upiw79ftov&amp;dl=0","Click to download Image")</f>
      </c>
      <c r="B2122" s="0">
        <f>HYPERLINK("https://dl.dropboxusercontent.com/scl/fi/qh0l8sjlj2jupx3pfni9p/graphic-update2022-womens.jpg?rlkey=9mq6bj4hljiq08vzukyjl7568&amp;dl=0","Click to download SizeChart")</f>
      </c>
      <c r="C2122" s="0" t="inlineStr">
        <is>
          <t>Elizabeth Women's Off Shoulder Shirt</t>
        </is>
      </c>
      <c r="D2122" s="1">
        <v>111634</v>
      </c>
      <c r="E2122" s="0" t="inlineStr">
        <is>
          <t>IOWA ELIZABETH BLACK:111634A-S</t>
        </is>
      </c>
      <c r="F2122" s="2">
        <v>800111634046</v>
      </c>
      <c r="G2122" s="0" t="inlineStr">
        <is>
          <t>WOMENS</t>
        </is>
      </c>
      <c r="H2122" s="0" t="inlineStr">
        <is>
          <t>S</t>
        </is>
      </c>
      <c r="I2122" s="0">
        <v>39.99</v>
      </c>
      <c r="J2122" s="0">
        <v>23</v>
      </c>
    </row>
    <row r="2123" spans="1:10" customHeight="0">
      <c r="A2123" s="0">
        <f>HYPERLINK("https://dl.dropboxusercontent.com/scl/fi/3fveatmsk4jfpnpyb0esv/111634-af.jpg?rlkey=koj9gd3o5o7vmk0upiw79ftov&amp;dl=0","Click to download Image")</f>
      </c>
      <c r="B2123" s="0">
        <f>HYPERLINK("https://dl.dropboxusercontent.com/scl/fi/qh0l8sjlj2jupx3pfni9p/graphic-update2022-womens.jpg?rlkey=9mq6bj4hljiq08vzukyjl7568&amp;dl=0","Click to download SizeChart")</f>
      </c>
      <c r="C2123" s="0" t="inlineStr">
        <is>
          <t>Elizabeth Women's Off Shoulder Shirt</t>
        </is>
      </c>
      <c r="D2123" s="1">
        <v>111634</v>
      </c>
      <c r="E2123" s="0" t="inlineStr">
        <is>
          <t>IOWA ELIZABETH BLACK:111634B-M</t>
        </is>
      </c>
      <c r="F2123" s="2">
        <v>800111634053</v>
      </c>
      <c r="G2123" s="0" t="inlineStr">
        <is>
          <t>WOMENS</t>
        </is>
      </c>
      <c r="H2123" s="0" t="inlineStr">
        <is>
          <t>M</t>
        </is>
      </c>
      <c r="I2123" s="0">
        <v>39.99</v>
      </c>
      <c r="J2123" s="0">
        <v>25</v>
      </c>
    </row>
    <row r="2124" spans="1:10" customHeight="0">
      <c r="A2124" s="0">
        <f>HYPERLINK("https://dl.dropboxusercontent.com/scl/fi/3fveatmsk4jfpnpyb0esv/111634-af.jpg?rlkey=koj9gd3o5o7vmk0upiw79ftov&amp;dl=0","Click to download Image")</f>
      </c>
      <c r="B2124" s="0">
        <f>HYPERLINK("https://dl.dropboxusercontent.com/scl/fi/qh0l8sjlj2jupx3pfni9p/graphic-update2022-womens.jpg?rlkey=9mq6bj4hljiq08vzukyjl7568&amp;dl=0","Click to download SizeChart")</f>
      </c>
      <c r="C2124" s="0" t="inlineStr">
        <is>
          <t>Elizabeth Women's Off Shoulder Shirt</t>
        </is>
      </c>
      <c r="D2124" s="1">
        <v>111634</v>
      </c>
      <c r="E2124" s="0" t="inlineStr">
        <is>
          <t>IOWA ELIZABETH BLACK:111634C-L</t>
        </is>
      </c>
      <c r="F2124" s="2">
        <v>800111634060</v>
      </c>
      <c r="G2124" s="0" t="inlineStr">
        <is>
          <t>WOMENS</t>
        </is>
      </c>
      <c r="H2124" s="0" t="inlineStr">
        <is>
          <t>L</t>
        </is>
      </c>
      <c r="I2124" s="0">
        <v>39.99</v>
      </c>
      <c r="J2124" s="0">
        <v>21</v>
      </c>
    </row>
    <row r="2125" spans="1:10" customHeight="0">
      <c r="A2125" s="0">
        <f>HYPERLINK("https://dl.dropboxusercontent.com/scl/fi/3fveatmsk4jfpnpyb0esv/111634-af.jpg?rlkey=koj9gd3o5o7vmk0upiw79ftov&amp;dl=0","Click to download Image")</f>
      </c>
      <c r="B2125" s="0">
        <f>HYPERLINK("https://dl.dropboxusercontent.com/scl/fi/qh0l8sjlj2jupx3pfni9p/graphic-update2022-womens.jpg?rlkey=9mq6bj4hljiq08vzukyjl7568&amp;dl=0","Click to download SizeChart")</f>
      </c>
      <c r="C2125" s="0" t="inlineStr">
        <is>
          <t>Elizabeth Women's Off Shoulder Shirt</t>
        </is>
      </c>
      <c r="D2125" s="1">
        <v>111634</v>
      </c>
      <c r="E2125" s="0" t="inlineStr">
        <is>
          <t>IOWA ELIZABETH BLACK:111634D-XL</t>
        </is>
      </c>
      <c r="F2125" s="2">
        <v>800111634077</v>
      </c>
      <c r="G2125" s="0" t="inlineStr">
        <is>
          <t>WOMENS</t>
        </is>
      </c>
      <c r="H2125" s="0" t="inlineStr">
        <is>
          <t>XL</t>
        </is>
      </c>
      <c r="I2125" s="0">
        <v>39.99</v>
      </c>
      <c r="J2125" s="0">
        <v>21</v>
      </c>
    </row>
    <row r="2126" spans="1:10" customHeight="0">
      <c r="A2126" s="0">
        <f>HYPERLINK("https://dl.dropboxusercontent.com/scl/fi/3fveatmsk4jfpnpyb0esv/111634-af.jpg?rlkey=koj9gd3o5o7vmk0upiw79ftov&amp;dl=0","Click to download Image")</f>
      </c>
      <c r="B2126" s="0">
        <f>HYPERLINK("https://dl.dropboxusercontent.com/scl/fi/qh0l8sjlj2jupx3pfni9p/graphic-update2022-womens.jpg?rlkey=9mq6bj4hljiq08vzukyjl7568&amp;dl=0","Click to download SizeChart")</f>
      </c>
      <c r="C2126" s="0" t="inlineStr">
        <is>
          <t>Elizabeth Women's Off Shoulder Shirt</t>
        </is>
      </c>
      <c r="D2126" s="1">
        <v>111634</v>
      </c>
      <c r="E2126" s="0" t="inlineStr">
        <is>
          <t>IOWA ELIZABETH BLACK:111634E-2XL</t>
        </is>
      </c>
      <c r="F2126" s="2">
        <v>800111634084</v>
      </c>
      <c r="G2126" s="0" t="inlineStr">
        <is>
          <t>WOMENS</t>
        </is>
      </c>
      <c r="H2126" s="0" t="inlineStr">
        <is>
          <t>2XL</t>
        </is>
      </c>
      <c r="I2126" s="0">
        <v>39.99</v>
      </c>
      <c r="J2126" s="0">
        <v>12</v>
      </c>
    </row>
    <row r="2127" spans="1:10" customHeight="0">
      <c r="A2127" s="0">
        <f>HYPERLINK("https://dl.dropboxusercontent.com/scl/fi/3fveatmsk4jfpnpyb0esv/111634-af.jpg?rlkey=koj9gd3o5o7vmk0upiw79ftov&amp;dl=0","Click to download Image")</f>
      </c>
      <c r="B2127" s="0">
        <f>HYPERLINK("https://dl.dropboxusercontent.com/scl/fi/qh0l8sjlj2jupx3pfni9p/graphic-update2022-womens.jpg?rlkey=9mq6bj4hljiq08vzukyjl7568&amp;dl=0","Click to download SizeChart")</f>
      </c>
      <c r="C2127" s="0" t="inlineStr">
        <is>
          <t>Elizabeth Women's Off Shoulder Shirt</t>
        </is>
      </c>
      <c r="D2127" s="1">
        <v>111634</v>
      </c>
      <c r="E2127" s="0" t="inlineStr">
        <is>
          <t>IOWA ELIZABETH BLACK:111634F-3XL</t>
        </is>
      </c>
      <c r="F2127" s="2">
        <v>800111634091</v>
      </c>
      <c r="G2127" s="0" t="inlineStr">
        <is>
          <t>WOMENS</t>
        </is>
      </c>
      <c r="H2127" s="0" t="inlineStr">
        <is>
          <t>3XL</t>
        </is>
      </c>
      <c r="I2127" s="0">
        <v>39.99</v>
      </c>
      <c r="J2127" s="0">
        <v>10</v>
      </c>
    </row>
    <row r="2128" spans="1:10" customHeight="0">
      <c r="A2128" s="0">
        <f>HYPERLINK("https://dl.dropboxusercontent.com/scl/fi/3fveatmsk4jfpnpyb0esv/111634-af.jpg?rlkey=koj9gd3o5o7vmk0upiw79ftov&amp;dl=0","Click to download Image")</f>
      </c>
      <c r="B2128" s="0">
        <f>HYPERLINK("https://dl.dropboxusercontent.com/scl/fi/qh0l8sjlj2jupx3pfni9p/graphic-update2022-womens.jpg?rlkey=9mq6bj4hljiq08vzukyjl7568&amp;dl=0","Click to download SizeChart")</f>
      </c>
      <c r="C2128" s="0" t="inlineStr">
        <is>
          <t>Elizabeth Women's Off Shoulder Shirt</t>
        </is>
      </c>
      <c r="D2128" s="1">
        <v>111634</v>
      </c>
      <c r="E2128" s="0" t="inlineStr">
        <is>
          <t>IOWA ELIZABETH BLACK 12 PACK:111634Z-12PK</t>
        </is>
      </c>
      <c r="F2128" s="2">
        <v>800111634992</v>
      </c>
      <c r="G2128" s="0" t="inlineStr">
        <is>
          <t>WOMENS</t>
        </is>
      </c>
      <c r="H2128" s="0" t="inlineStr">
        <is>
          <t>12 PACK</t>
        </is>
      </c>
      <c r="I2128" s="0">
        <v>380</v>
      </c>
      <c r="J2128" s="0">
        <v>0</v>
      </c>
    </row>
    <row r="2129" spans="1:10" customHeight="0">
      <c r="A2129" s="0">
        <f>HYPERLINK("https://dl.dropboxusercontent.com/scl/fi/43frlvpqwtcq0diym7qdr/110830af.jpg?rlkey=0ram2nl1jze1cmjrv42ssbuhq&amp;dl=0","Click to download Image")</f>
      </c>
      <c r="B2129" s="0">
        <f>HYPERLINK("https://dl.dropboxusercontent.com/scl/fi/qh0l8sjlj2jupx3pfni9p/graphic-update2022-womens.jpg?rlkey=9mq6bj4hljiq08vzukyjl7568&amp;dl=0","Click to download SizeChart")</f>
      </c>
      <c r="C2129" s="0" t="inlineStr">
        <is>
          <t>Elizabeth Women's Off Shoulder Shirt</t>
        </is>
      </c>
      <c r="D2129" s="1">
        <v>110830</v>
      </c>
      <c r="E2129" s="0" t="inlineStr">
        <is>
          <t>IOWA ELIZABETH GOLD:110830AA-XS</t>
        </is>
      </c>
      <c r="F2129" s="2">
        <v>800110830036</v>
      </c>
      <c r="G2129" s="0" t="inlineStr">
        <is>
          <t>WOMENS</t>
        </is>
      </c>
      <c r="H2129" s="0" t="inlineStr">
        <is>
          <t>XS</t>
        </is>
      </c>
      <c r="I2129" s="0">
        <v>39.99</v>
      </c>
      <c r="J2129" s="0">
        <v>19</v>
      </c>
    </row>
    <row r="2130" spans="1:10" customHeight="0">
      <c r="A2130" s="0">
        <f>HYPERLINK("https://dl.dropboxusercontent.com/scl/fi/43frlvpqwtcq0diym7qdr/110830af.jpg?rlkey=0ram2nl1jze1cmjrv42ssbuhq&amp;dl=0","Click to download Image")</f>
      </c>
      <c r="B2130" s="0">
        <f>HYPERLINK("https://dl.dropboxusercontent.com/scl/fi/qh0l8sjlj2jupx3pfni9p/graphic-update2022-womens.jpg?rlkey=9mq6bj4hljiq08vzukyjl7568&amp;dl=0","Click to download SizeChart")</f>
      </c>
      <c r="C2130" s="0" t="inlineStr">
        <is>
          <t>Elizabeth Women's Off Shoulder Shirt</t>
        </is>
      </c>
      <c r="D2130" s="1">
        <v>110830</v>
      </c>
      <c r="E2130" s="0" t="inlineStr">
        <is>
          <t>IOWA ELIZABETH GOLD:110830A-S</t>
        </is>
      </c>
      <c r="F2130" s="2">
        <v>800110830043</v>
      </c>
      <c r="G2130" s="0" t="inlineStr">
        <is>
          <t>WOMENS</t>
        </is>
      </c>
      <c r="H2130" s="0" t="inlineStr">
        <is>
          <t>S</t>
        </is>
      </c>
      <c r="I2130" s="0">
        <v>39.99</v>
      </c>
      <c r="J2130" s="0">
        <v>24</v>
      </c>
    </row>
    <row r="2131" spans="1:10" customHeight="0">
      <c r="A2131" s="0">
        <f>HYPERLINK("https://dl.dropboxusercontent.com/scl/fi/43frlvpqwtcq0diym7qdr/110830af.jpg?rlkey=0ram2nl1jze1cmjrv42ssbuhq&amp;dl=0","Click to download Image")</f>
      </c>
      <c r="B2131" s="0">
        <f>HYPERLINK("https://dl.dropboxusercontent.com/scl/fi/qh0l8sjlj2jupx3pfni9p/graphic-update2022-womens.jpg?rlkey=9mq6bj4hljiq08vzukyjl7568&amp;dl=0","Click to download SizeChart")</f>
      </c>
      <c r="C2131" s="0" t="inlineStr">
        <is>
          <t>Elizabeth Women's Off Shoulder Shirt</t>
        </is>
      </c>
      <c r="D2131" s="1">
        <v>110830</v>
      </c>
      <c r="E2131" s="0" t="inlineStr">
        <is>
          <t>IOWA ELIZABETH GOLD:110830B-M</t>
        </is>
      </c>
      <c r="F2131" s="2">
        <v>800110830050</v>
      </c>
      <c r="G2131" s="0" t="inlineStr">
        <is>
          <t>WOMENS</t>
        </is>
      </c>
      <c r="H2131" s="0" t="inlineStr">
        <is>
          <t>M</t>
        </is>
      </c>
      <c r="I2131" s="0">
        <v>39.99</v>
      </c>
      <c r="J2131" s="0">
        <v>26</v>
      </c>
    </row>
    <row r="2132" spans="1:10" customHeight="0">
      <c r="A2132" s="0">
        <f>HYPERLINK("https://dl.dropboxusercontent.com/scl/fi/43frlvpqwtcq0diym7qdr/110830af.jpg?rlkey=0ram2nl1jze1cmjrv42ssbuhq&amp;dl=0","Click to download Image")</f>
      </c>
      <c r="B2132" s="0">
        <f>HYPERLINK("https://dl.dropboxusercontent.com/scl/fi/qh0l8sjlj2jupx3pfni9p/graphic-update2022-womens.jpg?rlkey=9mq6bj4hljiq08vzukyjl7568&amp;dl=0","Click to download SizeChart")</f>
      </c>
      <c r="C2132" s="0" t="inlineStr">
        <is>
          <t>Elizabeth Women's Off Shoulder Shirt</t>
        </is>
      </c>
      <c r="D2132" s="1">
        <v>110830</v>
      </c>
      <c r="E2132" s="0" t="inlineStr">
        <is>
          <t>IOWA ELIZABETH GOLD:110830C-L</t>
        </is>
      </c>
      <c r="F2132" s="2">
        <v>800110830067</v>
      </c>
      <c r="G2132" s="0" t="inlineStr">
        <is>
          <t>WOMENS</t>
        </is>
      </c>
      <c r="H2132" s="0" t="inlineStr">
        <is>
          <t>L</t>
        </is>
      </c>
      <c r="I2132" s="0">
        <v>39.99</v>
      </c>
      <c r="J2132" s="0">
        <v>16</v>
      </c>
    </row>
    <row r="2133" spans="1:10" customHeight="0">
      <c r="A2133" s="0">
        <f>HYPERLINK("https://dl.dropboxusercontent.com/scl/fi/43frlvpqwtcq0diym7qdr/110830af.jpg?rlkey=0ram2nl1jze1cmjrv42ssbuhq&amp;dl=0","Click to download Image")</f>
      </c>
      <c r="B2133" s="0">
        <f>HYPERLINK("https://dl.dropboxusercontent.com/scl/fi/qh0l8sjlj2jupx3pfni9p/graphic-update2022-womens.jpg?rlkey=9mq6bj4hljiq08vzukyjl7568&amp;dl=0","Click to download SizeChart")</f>
      </c>
      <c r="C2133" s="0" t="inlineStr">
        <is>
          <t>Elizabeth Women's Off Shoulder Shirt</t>
        </is>
      </c>
      <c r="D2133" s="1">
        <v>110830</v>
      </c>
      <c r="E2133" s="0" t="inlineStr">
        <is>
          <t>IOWA ELIZABETH GOLD:110830D-XL</t>
        </is>
      </c>
      <c r="F2133" s="2">
        <v>800110830074</v>
      </c>
      <c r="G2133" s="0" t="inlineStr">
        <is>
          <t>WOMENS</t>
        </is>
      </c>
      <c r="H2133" s="0" t="inlineStr">
        <is>
          <t>XL</t>
        </is>
      </c>
      <c r="I2133" s="0">
        <v>39.99</v>
      </c>
      <c r="J2133" s="0">
        <v>21</v>
      </c>
    </row>
    <row r="2134" spans="1:10" customHeight="0">
      <c r="A2134" s="0">
        <f>HYPERLINK("https://dl.dropboxusercontent.com/scl/fi/43frlvpqwtcq0diym7qdr/110830af.jpg?rlkey=0ram2nl1jze1cmjrv42ssbuhq&amp;dl=0","Click to download Image")</f>
      </c>
      <c r="B2134" s="0">
        <f>HYPERLINK("https://dl.dropboxusercontent.com/scl/fi/qh0l8sjlj2jupx3pfni9p/graphic-update2022-womens.jpg?rlkey=9mq6bj4hljiq08vzukyjl7568&amp;dl=0","Click to download SizeChart")</f>
      </c>
      <c r="C2134" s="0" t="inlineStr">
        <is>
          <t>Elizabeth Women's Off Shoulder Shirt</t>
        </is>
      </c>
      <c r="D2134" s="1">
        <v>110830</v>
      </c>
      <c r="E2134" s="0" t="inlineStr">
        <is>
          <t>IOWA ELIZABETH GOLD:110830E-2XL</t>
        </is>
      </c>
      <c r="F2134" s="2">
        <v>800110830081</v>
      </c>
      <c r="G2134" s="0" t="inlineStr">
        <is>
          <t>WOMENS</t>
        </is>
      </c>
      <c r="H2134" s="0" t="inlineStr">
        <is>
          <t>2XL</t>
        </is>
      </c>
      <c r="I2134" s="0">
        <v>39.99</v>
      </c>
      <c r="J2134" s="0">
        <v>11</v>
      </c>
    </row>
    <row r="2135" spans="1:10" customHeight="0">
      <c r="A2135" s="0">
        <f>HYPERLINK("https://dl.dropboxusercontent.com/scl/fi/43frlvpqwtcq0diym7qdr/110830af.jpg?rlkey=0ram2nl1jze1cmjrv42ssbuhq&amp;dl=0","Click to download Image")</f>
      </c>
      <c r="B2135" s="0">
        <f>HYPERLINK("https://dl.dropboxusercontent.com/scl/fi/qh0l8sjlj2jupx3pfni9p/graphic-update2022-womens.jpg?rlkey=9mq6bj4hljiq08vzukyjl7568&amp;dl=0","Click to download SizeChart")</f>
      </c>
      <c r="C2135" s="0" t="inlineStr">
        <is>
          <t>Elizabeth Women's Off Shoulder Shirt</t>
        </is>
      </c>
      <c r="D2135" s="1">
        <v>110830</v>
      </c>
      <c r="E2135" s="0" t="inlineStr">
        <is>
          <t>IOWA ELIZABETH GOLD:110830F-3XL</t>
        </is>
      </c>
      <c r="F2135" s="2">
        <v>800110830098</v>
      </c>
      <c r="G2135" s="0" t="inlineStr">
        <is>
          <t>WOMENS</t>
        </is>
      </c>
      <c r="H2135" s="0" t="inlineStr">
        <is>
          <t>3XL</t>
        </is>
      </c>
      <c r="I2135" s="0">
        <v>39.99</v>
      </c>
      <c r="J2135" s="0">
        <v>10</v>
      </c>
    </row>
    <row r="2136" spans="1:10" customHeight="0">
      <c r="A2136" s="0">
        <f>HYPERLINK("https://dl.dropboxusercontent.com/scl/fi/43frlvpqwtcq0diym7qdr/110830af.jpg?rlkey=0ram2nl1jze1cmjrv42ssbuhq&amp;dl=0","Click to download Image")</f>
      </c>
      <c r="B2136" s="0">
        <f>HYPERLINK("https://dl.dropboxusercontent.com/scl/fi/qh0l8sjlj2jupx3pfni9p/graphic-update2022-womens.jpg?rlkey=9mq6bj4hljiq08vzukyjl7568&amp;dl=0","Click to download SizeChart")</f>
      </c>
      <c r="C2136" s="0" t="inlineStr">
        <is>
          <t>Elizabeth Women's Off Shoulder Shirt</t>
        </is>
      </c>
      <c r="D2136" s="1">
        <v>110830</v>
      </c>
      <c r="E2136" s="0" t="inlineStr">
        <is>
          <t>IOWA ELIZABETH GOLD 12 PACK:110830Z-12PK</t>
        </is>
      </c>
      <c r="F2136" s="2">
        <v>800110830999</v>
      </c>
      <c r="G2136" s="0" t="inlineStr">
        <is>
          <t>WOMENS</t>
        </is>
      </c>
      <c r="H2136" s="0" t="inlineStr">
        <is>
          <t>12 PACK</t>
        </is>
      </c>
      <c r="I2136" s="0">
        <v>380</v>
      </c>
      <c r="J2136" s="0">
        <v>0</v>
      </c>
    </row>
    <row r="2137" spans="1:10" customHeight="0">
      <c r="A2137" s="0">
        <f>HYPERLINK("https://dl.dropboxusercontent.com/scl/fi/om93xbtbys3ksas5iemwv/116423-b.jpg?rlkey=4flvfacv0e9rsui3nl4yeptxo&amp;dl=0","Click to download Image")</f>
      </c>
      <c r="C2137" s="0" t="inlineStr">
        <is>
          <t>Estes Oversized Tote</t>
        </is>
      </c>
      <c r="D2137" s="1">
        <v>116423</v>
      </c>
      <c r="E2137" s="0" t="inlineStr">
        <is>
          <t>IOWA ESTES TOTE:116423</t>
        </is>
      </c>
      <c r="F2137" s="2">
        <v>900116423017</v>
      </c>
      <c r="H2137" s="0" t="inlineStr">
        <is>
          <t>18INCH WIDE X 13INCH HEIGHT X 7INCH DEEP</t>
        </is>
      </c>
      <c r="I2137" s="0">
        <v>49.99</v>
      </c>
      <c r="J2137" s="0">
        <v>55</v>
      </c>
    </row>
    <row r="2138" spans="1:10" customHeight="0">
      <c r="A2138" s="0">
        <f>HYPERLINK("https://dl.dropboxusercontent.com/scl/fi/oyaawaklas1iec9oz4gkm/107212-af.jpg?rlkey=vd4li3l1gql8muhtdqutbhb0d&amp;dl=0","Click to download Image")</f>
      </c>
      <c r="C2138" s="0" t="inlineStr">
        <is>
          <t>Ellsworth Infant Cap</t>
        </is>
      </c>
      <c r="D2138" s="1">
        <v>107213</v>
      </c>
      <c r="E2138" s="0" t="inlineStr">
        <is>
          <t>ISU ELLSWORTH:107213STRETCH-OSFM-47-49CM</t>
        </is>
      </c>
      <c r="G2138" s="0" t="inlineStr">
        <is>
          <t>INFANT</t>
        </is>
      </c>
      <c r="H2138" s="0" t="inlineStr">
        <is>
          <t>INFANT</t>
        </is>
      </c>
      <c r="I2138" s="0">
        <v>15.99</v>
      </c>
      <c r="J2138" s="0">
        <v>111</v>
      </c>
    </row>
    <row r="2139" spans="1:10" customHeight="0">
      <c r="A2139" s="0">
        <f>HYPERLINK("https://dl.dropboxusercontent.com/scl/fi/1jk4hsgubfzkj1y24baa4/wreniafb.jpg?rlkey=s3gpwob48itg6gyoqsrsz7vhx&amp;dl=0","Click to download Image")</f>
      </c>
      <c r="B2139" s="0">
        <f>HYPERLINK("https://dl.dropboxusercontent.com/scl/fi/rd4yv2tqs2hsseow8dul5/womens-tank-top-size-chartswren.jpg?rlkey=mfhga5jybzawfwr62kazv3716&amp;dl=0","Click to download SizeChart")</f>
      </c>
      <c r="C2139" s="0" t="inlineStr">
        <is>
          <t>Wren Women's Tank Top</t>
        </is>
      </c>
      <c r="D2139" s="1">
        <v>109547</v>
      </c>
      <c r="E2139" s="0" t="inlineStr">
        <is>
          <t>IOWA WREN:109547A-S</t>
        </is>
      </c>
      <c r="F2139" s="2">
        <v>800109547013</v>
      </c>
      <c r="G2139" s="0" t="inlineStr">
        <is>
          <t>WOMENS</t>
        </is>
      </c>
      <c r="H2139" s="0" t="inlineStr">
        <is>
          <t>S</t>
        </is>
      </c>
      <c r="I2139" s="0">
        <v>32.99</v>
      </c>
      <c r="J2139" s="0">
        <v>8</v>
      </c>
    </row>
    <row r="2140" spans="1:10" customHeight="0">
      <c r="A2140" s="0">
        <f>HYPERLINK("https://dl.dropboxusercontent.com/scl/fi/1jk4hsgubfzkj1y24baa4/wreniafb.jpg?rlkey=s3gpwob48itg6gyoqsrsz7vhx&amp;dl=0","Click to download Image")</f>
      </c>
      <c r="B2140" s="0">
        <f>HYPERLINK("https://dl.dropboxusercontent.com/scl/fi/rd4yv2tqs2hsseow8dul5/womens-tank-top-size-chartswren.jpg?rlkey=mfhga5jybzawfwr62kazv3716&amp;dl=0","Click to download SizeChart")</f>
      </c>
      <c r="C2140" s="0" t="inlineStr">
        <is>
          <t>Wren Women's Tank Top</t>
        </is>
      </c>
      <c r="D2140" s="1">
        <v>109547</v>
      </c>
      <c r="E2140" s="0" t="inlineStr">
        <is>
          <t>IOWA WREN:109547B-M</t>
        </is>
      </c>
      <c r="F2140" s="2">
        <v>800109547025</v>
      </c>
      <c r="G2140" s="0" t="inlineStr">
        <is>
          <t>WOMENS</t>
        </is>
      </c>
      <c r="H2140" s="0" t="inlineStr">
        <is>
          <t>M</t>
        </is>
      </c>
      <c r="I2140" s="0">
        <v>32.99</v>
      </c>
      <c r="J2140" s="0">
        <v>33</v>
      </c>
    </row>
    <row r="2141" spans="1:10" customHeight="0">
      <c r="A2141" s="0">
        <f>HYPERLINK("https://dl.dropboxusercontent.com/scl/fi/1jk4hsgubfzkj1y24baa4/wreniafb.jpg?rlkey=s3gpwob48itg6gyoqsrsz7vhx&amp;dl=0","Click to download Image")</f>
      </c>
      <c r="B2141" s="0">
        <f>HYPERLINK("https://dl.dropboxusercontent.com/scl/fi/rd4yv2tqs2hsseow8dul5/womens-tank-top-size-chartswren.jpg?rlkey=mfhga5jybzawfwr62kazv3716&amp;dl=0","Click to download SizeChart")</f>
      </c>
      <c r="C2141" s="0" t="inlineStr">
        <is>
          <t>Wren Women's Tank Top</t>
        </is>
      </c>
      <c r="D2141" s="1">
        <v>109547</v>
      </c>
      <c r="E2141" s="0" t="inlineStr">
        <is>
          <t>IOWA WREN:109547C-L</t>
        </is>
      </c>
      <c r="F2141" s="2">
        <v>800109547037</v>
      </c>
      <c r="G2141" s="0" t="inlineStr">
        <is>
          <t>WOMENS</t>
        </is>
      </c>
      <c r="H2141" s="0" t="inlineStr">
        <is>
          <t>L</t>
        </is>
      </c>
      <c r="I2141" s="0">
        <v>32.99</v>
      </c>
      <c r="J2141" s="0">
        <v>33</v>
      </c>
    </row>
    <row r="2142" spans="1:10" customHeight="0">
      <c r="A2142" s="0">
        <f>HYPERLINK("https://dl.dropboxusercontent.com/scl/fi/1jk4hsgubfzkj1y24baa4/wreniafb.jpg?rlkey=s3gpwob48itg6gyoqsrsz7vhx&amp;dl=0","Click to download Image")</f>
      </c>
      <c r="B2142" s="0">
        <f>HYPERLINK("https://dl.dropboxusercontent.com/scl/fi/rd4yv2tqs2hsseow8dul5/womens-tank-top-size-chartswren.jpg?rlkey=mfhga5jybzawfwr62kazv3716&amp;dl=0","Click to download SizeChart")</f>
      </c>
      <c r="C2142" s="0" t="inlineStr">
        <is>
          <t>Wren Women's Tank Top</t>
        </is>
      </c>
      <c r="D2142" s="1">
        <v>109547</v>
      </c>
      <c r="E2142" s="0" t="inlineStr">
        <is>
          <t>IOWA WREN:109547D-XL</t>
        </is>
      </c>
      <c r="F2142" s="2">
        <v>800109547044</v>
      </c>
      <c r="G2142" s="0" t="inlineStr">
        <is>
          <t>WOMENS</t>
        </is>
      </c>
      <c r="H2142" s="0" t="inlineStr">
        <is>
          <t>XL</t>
        </is>
      </c>
      <c r="I2142" s="0">
        <v>32.99</v>
      </c>
      <c r="J2142" s="0">
        <v>0</v>
      </c>
    </row>
    <row r="2143" spans="1:10" customHeight="0">
      <c r="A2143" s="0">
        <f>HYPERLINK("https://dl.dropboxusercontent.com/scl/fi/1jk4hsgubfzkj1y24baa4/wreniafb.jpg?rlkey=s3gpwob48itg6gyoqsrsz7vhx&amp;dl=0","Click to download Image")</f>
      </c>
      <c r="B2143" s="0">
        <f>HYPERLINK("https://dl.dropboxusercontent.com/scl/fi/rd4yv2tqs2hsseow8dul5/womens-tank-top-size-chartswren.jpg?rlkey=mfhga5jybzawfwr62kazv3716&amp;dl=0","Click to download SizeChart")</f>
      </c>
      <c r="C2143" s="0" t="inlineStr">
        <is>
          <t>Wren Women's Tank Top</t>
        </is>
      </c>
      <c r="D2143" s="1">
        <v>109547</v>
      </c>
      <c r="E2143" s="0" t="inlineStr">
        <is>
          <t>IOWA WREN:109547E-2XL</t>
        </is>
      </c>
      <c r="F2143" s="2">
        <v>800109547051</v>
      </c>
      <c r="G2143" s="0" t="inlineStr">
        <is>
          <t>WOMENS</t>
        </is>
      </c>
      <c r="H2143" s="0" t="inlineStr">
        <is>
          <t>2XL</t>
        </is>
      </c>
      <c r="I2143" s="0">
        <v>34.99</v>
      </c>
      <c r="J2143" s="0">
        <v>0</v>
      </c>
    </row>
    <row r="2144" spans="1:10" customHeight="0">
      <c r="A2144" s="0">
        <f>HYPERLINK("https://dl.dropboxusercontent.com/scl/fi/1jk4hsgubfzkj1y24baa4/wreniafb.jpg?rlkey=s3gpwob48itg6gyoqsrsz7vhx&amp;dl=0","Click to download Image")</f>
      </c>
      <c r="B2144" s="0">
        <f>HYPERLINK("https://dl.dropboxusercontent.com/scl/fi/rd4yv2tqs2hsseow8dul5/womens-tank-top-size-chartswren.jpg?rlkey=mfhga5jybzawfwr62kazv3716&amp;dl=0","Click to download SizeChart")</f>
      </c>
      <c r="C2144" s="0" t="inlineStr">
        <is>
          <t>Wren Women's Tank Top</t>
        </is>
      </c>
      <c r="D2144" s="1">
        <v>109547</v>
      </c>
      <c r="E2144" s="0" t="inlineStr">
        <is>
          <t>IOWA WREN:109547F-3XL</t>
        </is>
      </c>
      <c r="F2144" s="2">
        <v>800109547068</v>
      </c>
      <c r="G2144" s="0" t="inlineStr">
        <is>
          <t>WOMENS</t>
        </is>
      </c>
      <c r="H2144" s="0" t="inlineStr">
        <is>
          <t>3XL</t>
        </is>
      </c>
      <c r="I2144" s="0">
        <v>34.99</v>
      </c>
      <c r="J2144" s="0">
        <v>0</v>
      </c>
    </row>
    <row r="2145" spans="1:10" customHeight="0">
      <c r="A2145" s="0">
        <f>HYPERLINK("https://dl.dropboxusercontent.com/scl/fi/1jk4hsgubfzkj1y24baa4/wreniafb.jpg?rlkey=s3gpwob48itg6gyoqsrsz7vhx&amp;dl=0","Click to download Image")</f>
      </c>
      <c r="B2145" s="0">
        <f>HYPERLINK("https://dl.dropboxusercontent.com/scl/fi/rd4yv2tqs2hsseow8dul5/womens-tank-top-size-chartswren.jpg?rlkey=mfhga5jybzawfwr62kazv3716&amp;dl=0","Click to download SizeChart")</f>
      </c>
      <c r="C2145" s="0" t="inlineStr">
        <is>
          <t>Wren Women's Tank Top</t>
        </is>
      </c>
      <c r="D2145" s="1">
        <v>109547</v>
      </c>
      <c r="E2145" s="0" t="inlineStr">
        <is>
          <t>IOWA WREN 12 PACK:109547Z-12PK</t>
        </is>
      </c>
      <c r="F2145" s="2">
        <v>800109547105</v>
      </c>
      <c r="G2145" s="0" t="inlineStr">
        <is>
          <t>WOMENS</t>
        </is>
      </c>
      <c r="H2145" s="0" t="inlineStr">
        <is>
          <t>12 PACK</t>
        </is>
      </c>
      <c r="I2145" s="0">
        <v>371.88</v>
      </c>
      <c r="J2145" s="0">
        <v>0</v>
      </c>
    </row>
    <row r="2146" spans="1:10" customHeight="0">
      <c r="A2146" s="0">
        <f>HYPERLINK("https://dl.dropboxusercontent.com/scl/fi/22jnjrajfuto68rnddusz/111380-af.jpg?rlkey=jayi1j0hee662o227ja75byes&amp;dl=0","Click to download Image")</f>
      </c>
      <c r="B2146" s="0">
        <f>HYPERLINK("https://dl.dropboxusercontent.com/scl/fi/ux39po5zh7rh2yvikdxwj/womens-tank-top-size-chartseva.jpg?rlkey=r6nru480b86dz0u9bf27aoswr&amp;dl=0","Click to download SizeChart")</f>
      </c>
      <c r="C2146" s="0" t="inlineStr">
        <is>
          <t>Eva Women's Sleeveless Blouse</t>
        </is>
      </c>
      <c r="D2146" s="1">
        <v>111380</v>
      </c>
      <c r="E2146" s="0" t="inlineStr">
        <is>
          <t>IOWA EVA BLACK:111380AA-XS</t>
        </is>
      </c>
      <c r="F2146" s="2">
        <v>800111380035</v>
      </c>
      <c r="G2146" s="0" t="inlineStr">
        <is>
          <t>WOMENS</t>
        </is>
      </c>
      <c r="H2146" s="0" t="inlineStr">
        <is>
          <t>XS</t>
        </is>
      </c>
      <c r="I2146" s="0">
        <v>49.99</v>
      </c>
      <c r="J2146" s="0">
        <v>40</v>
      </c>
    </row>
    <row r="2147" spans="1:10" customHeight="0">
      <c r="A2147" s="0">
        <f>HYPERLINK("https://dl.dropboxusercontent.com/scl/fi/22jnjrajfuto68rnddusz/111380-af.jpg?rlkey=jayi1j0hee662o227ja75byes&amp;dl=0","Click to download Image")</f>
      </c>
      <c r="B2147" s="0">
        <f>HYPERLINK("https://dl.dropboxusercontent.com/scl/fi/ux39po5zh7rh2yvikdxwj/womens-tank-top-size-chartseva.jpg?rlkey=r6nru480b86dz0u9bf27aoswr&amp;dl=0","Click to download SizeChart")</f>
      </c>
      <c r="C2147" s="0" t="inlineStr">
        <is>
          <t>Eva Women's Sleeveless Blouse</t>
        </is>
      </c>
      <c r="D2147" s="1">
        <v>111380</v>
      </c>
      <c r="E2147" s="0" t="inlineStr">
        <is>
          <t>IOWA EVA BLACK:111380A-S</t>
        </is>
      </c>
      <c r="F2147" s="2">
        <v>800111380042</v>
      </c>
      <c r="G2147" s="0" t="inlineStr">
        <is>
          <t>WOMENS</t>
        </is>
      </c>
      <c r="H2147" s="0" t="inlineStr">
        <is>
          <t>S</t>
        </is>
      </c>
      <c r="I2147" s="0">
        <v>49.99</v>
      </c>
      <c r="J2147" s="0">
        <v>63</v>
      </c>
    </row>
    <row r="2148" spans="1:10" customHeight="0">
      <c r="A2148" s="0">
        <f>HYPERLINK("https://dl.dropboxusercontent.com/scl/fi/22jnjrajfuto68rnddusz/111380-af.jpg?rlkey=jayi1j0hee662o227ja75byes&amp;dl=0","Click to download Image")</f>
      </c>
      <c r="B2148" s="0">
        <f>HYPERLINK("https://dl.dropboxusercontent.com/scl/fi/ux39po5zh7rh2yvikdxwj/womens-tank-top-size-chartseva.jpg?rlkey=r6nru480b86dz0u9bf27aoswr&amp;dl=0","Click to download SizeChart")</f>
      </c>
      <c r="C2148" s="0" t="inlineStr">
        <is>
          <t>Eva Women's Sleeveless Blouse</t>
        </is>
      </c>
      <c r="D2148" s="1">
        <v>111380</v>
      </c>
      <c r="E2148" s="0" t="inlineStr">
        <is>
          <t>IOWA EVA BLACK:111380B-M</t>
        </is>
      </c>
      <c r="F2148" s="2">
        <v>800111380059</v>
      </c>
      <c r="G2148" s="0" t="inlineStr">
        <is>
          <t>WOMENS</t>
        </is>
      </c>
      <c r="H2148" s="0" t="inlineStr">
        <is>
          <t>M</t>
        </is>
      </c>
      <c r="I2148" s="0">
        <v>49.99</v>
      </c>
      <c r="J2148" s="0">
        <v>63</v>
      </c>
    </row>
    <row r="2149" spans="1:10" customHeight="0">
      <c r="A2149" s="0">
        <f>HYPERLINK("https://dl.dropboxusercontent.com/scl/fi/22jnjrajfuto68rnddusz/111380-af.jpg?rlkey=jayi1j0hee662o227ja75byes&amp;dl=0","Click to download Image")</f>
      </c>
      <c r="B2149" s="0">
        <f>HYPERLINK("https://dl.dropboxusercontent.com/scl/fi/ux39po5zh7rh2yvikdxwj/womens-tank-top-size-chartseva.jpg?rlkey=r6nru480b86dz0u9bf27aoswr&amp;dl=0","Click to download SizeChart")</f>
      </c>
      <c r="C2149" s="0" t="inlineStr">
        <is>
          <t>Eva Women's Sleeveless Blouse</t>
        </is>
      </c>
      <c r="D2149" s="1">
        <v>111380</v>
      </c>
      <c r="E2149" s="0" t="inlineStr">
        <is>
          <t>IOWA EVA BLACK:111380C-L</t>
        </is>
      </c>
      <c r="F2149" s="2">
        <v>800111380066</v>
      </c>
      <c r="G2149" s="0" t="inlineStr">
        <is>
          <t>WOMENS</t>
        </is>
      </c>
      <c r="H2149" s="0" t="inlineStr">
        <is>
          <t>L</t>
        </is>
      </c>
      <c r="I2149" s="0">
        <v>49.99</v>
      </c>
      <c r="J2149" s="0">
        <v>41</v>
      </c>
    </row>
    <row r="2150" spans="1:10" customHeight="0">
      <c r="A2150" s="0">
        <f>HYPERLINK("https://dl.dropboxusercontent.com/scl/fi/22jnjrajfuto68rnddusz/111380-af.jpg?rlkey=jayi1j0hee662o227ja75byes&amp;dl=0","Click to download Image")</f>
      </c>
      <c r="B2150" s="0">
        <f>HYPERLINK("https://dl.dropboxusercontent.com/scl/fi/ux39po5zh7rh2yvikdxwj/womens-tank-top-size-chartseva.jpg?rlkey=r6nru480b86dz0u9bf27aoswr&amp;dl=0","Click to download SizeChart")</f>
      </c>
      <c r="C2150" s="0" t="inlineStr">
        <is>
          <t>Eva Women's Sleeveless Blouse</t>
        </is>
      </c>
      <c r="D2150" s="1">
        <v>111380</v>
      </c>
      <c r="E2150" s="0" t="inlineStr">
        <is>
          <t>IOWA EVA BLACK:111380D-XL</t>
        </is>
      </c>
      <c r="F2150" s="2">
        <v>800111380073</v>
      </c>
      <c r="G2150" s="0" t="inlineStr">
        <is>
          <t>WOMENS</t>
        </is>
      </c>
      <c r="H2150" s="0" t="inlineStr">
        <is>
          <t>XL</t>
        </is>
      </c>
      <c r="I2150" s="0">
        <v>49.99</v>
      </c>
      <c r="J2150" s="0">
        <v>42</v>
      </c>
    </row>
    <row r="2151" spans="1:10" customHeight="0">
      <c r="A2151" s="0">
        <f>HYPERLINK("https://dl.dropboxusercontent.com/scl/fi/22jnjrajfuto68rnddusz/111380-af.jpg?rlkey=jayi1j0hee662o227ja75byes&amp;dl=0","Click to download Image")</f>
      </c>
      <c r="B2151" s="0">
        <f>HYPERLINK("https://dl.dropboxusercontent.com/scl/fi/ux39po5zh7rh2yvikdxwj/womens-tank-top-size-chartseva.jpg?rlkey=r6nru480b86dz0u9bf27aoswr&amp;dl=0","Click to download SizeChart")</f>
      </c>
      <c r="C2151" s="0" t="inlineStr">
        <is>
          <t>Eva Women's Sleeveless Blouse</t>
        </is>
      </c>
      <c r="D2151" s="1">
        <v>111380</v>
      </c>
      <c r="E2151" s="0" t="inlineStr">
        <is>
          <t>IOWA EVA BLACK:111380E-2XL</t>
        </is>
      </c>
      <c r="F2151" s="2">
        <v>800111380080</v>
      </c>
      <c r="G2151" s="0" t="inlineStr">
        <is>
          <t>WOMENS</t>
        </is>
      </c>
      <c r="H2151" s="0" t="inlineStr">
        <is>
          <t>2XL</t>
        </is>
      </c>
      <c r="I2151" s="0">
        <v>51.99</v>
      </c>
      <c r="J2151" s="0">
        <v>24</v>
      </c>
    </row>
    <row r="2152" spans="1:10" customHeight="0">
      <c r="A2152" s="0">
        <f>HYPERLINK("https://dl.dropboxusercontent.com/scl/fi/22jnjrajfuto68rnddusz/111380-af.jpg?rlkey=jayi1j0hee662o227ja75byes&amp;dl=0","Click to download Image")</f>
      </c>
      <c r="B2152" s="0">
        <f>HYPERLINK("https://dl.dropboxusercontent.com/scl/fi/ux39po5zh7rh2yvikdxwj/womens-tank-top-size-chartseva.jpg?rlkey=r6nru480b86dz0u9bf27aoswr&amp;dl=0","Click to download SizeChart")</f>
      </c>
      <c r="C2152" s="0" t="inlineStr">
        <is>
          <t>Eva Women's Sleeveless Blouse</t>
        </is>
      </c>
      <c r="D2152" s="1">
        <v>111380</v>
      </c>
      <c r="E2152" s="0" t="inlineStr">
        <is>
          <t>IOWA EVA BLACK:111380F-3XL</t>
        </is>
      </c>
      <c r="F2152" s="2">
        <v>800111380097</v>
      </c>
      <c r="G2152" s="0" t="inlineStr">
        <is>
          <t>WOMENS</t>
        </is>
      </c>
      <c r="H2152" s="0" t="inlineStr">
        <is>
          <t>3XL</t>
        </is>
      </c>
      <c r="I2152" s="0">
        <v>51.99</v>
      </c>
      <c r="J2152" s="0">
        <v>24</v>
      </c>
    </row>
    <row r="2153" spans="1:10" customHeight="0">
      <c r="A2153" s="0">
        <f>HYPERLINK("https://dl.dropboxusercontent.com/scl/fi/22jnjrajfuto68rnddusz/111380-af.jpg?rlkey=jayi1j0hee662o227ja75byes&amp;dl=0","Click to download Image")</f>
      </c>
      <c r="B2153" s="0">
        <f>HYPERLINK("https://dl.dropboxusercontent.com/scl/fi/ux39po5zh7rh2yvikdxwj/womens-tank-top-size-chartseva.jpg?rlkey=r6nru480b86dz0u9bf27aoswr&amp;dl=0","Click to download SizeChart")</f>
      </c>
      <c r="C2153" s="0" t="inlineStr">
        <is>
          <t>Eva Women's Sleeveless Blouse</t>
        </is>
      </c>
      <c r="D2153" s="1">
        <v>111380</v>
      </c>
      <c r="E2153" s="0" t="inlineStr">
        <is>
          <t>IOWA EVA BLACK 12 PACK:111380Z-12PK</t>
        </is>
      </c>
      <c r="F2153" s="2">
        <v>800111380998</v>
      </c>
      <c r="G2153" s="0" t="inlineStr">
        <is>
          <t>WOMENS</t>
        </is>
      </c>
      <c r="H2153" s="0" t="inlineStr">
        <is>
          <t>12 PACK</t>
        </is>
      </c>
      <c r="I2153" s="0">
        <v>480</v>
      </c>
      <c r="J2153" s="0">
        <v>0</v>
      </c>
    </row>
    <row r="2154" spans="1:10" customHeight="0">
      <c r="A2154" s="0">
        <f>HYPERLINK("https://dl.dropboxusercontent.com/scl/fi/ujts5tkw4tlstnonta7qs/img0681bc.jpg?rlkey=4u7qqd7m2cc2s3gg5p3tqcx29&amp;dl=0","Click to download Image")</f>
      </c>
      <c r="B2154" s="0">
        <f>HYPERLINK("https://dl.dropboxusercontent.com/scl/fi/ux39po5zh7rh2yvikdxwj/womens-tank-top-size-chartseva.jpg?rlkey=r6nru480b86dz0u9bf27aoswr&amp;dl=0","Click to download SizeChart")</f>
      </c>
      <c r="C2154" s="0" t="inlineStr">
        <is>
          <t>Eva Women's Sleeveless Blouse</t>
        </is>
      </c>
      <c r="D2154" s="1">
        <v>110810</v>
      </c>
      <c r="E2154" s="0" t="inlineStr">
        <is>
          <t>IOWA EVA WHITE:110810AA-XS</t>
        </is>
      </c>
      <c r="F2154" s="2">
        <v>800110810038</v>
      </c>
      <c r="G2154" s="0" t="inlineStr">
        <is>
          <t>WOMENS</t>
        </is>
      </c>
      <c r="H2154" s="0" t="inlineStr">
        <is>
          <t>XS</t>
        </is>
      </c>
      <c r="I2154" s="0">
        <v>49.99</v>
      </c>
      <c r="J2154" s="0">
        <v>41</v>
      </c>
    </row>
    <row r="2155" spans="1:10" customHeight="0">
      <c r="A2155" s="0">
        <f>HYPERLINK("https://dl.dropboxusercontent.com/scl/fi/ujts5tkw4tlstnonta7qs/img0681bc.jpg?rlkey=4u7qqd7m2cc2s3gg5p3tqcx29&amp;dl=0","Click to download Image")</f>
      </c>
      <c r="B2155" s="0">
        <f>HYPERLINK("https://dl.dropboxusercontent.com/scl/fi/ux39po5zh7rh2yvikdxwj/womens-tank-top-size-chartseva.jpg?rlkey=r6nru480b86dz0u9bf27aoswr&amp;dl=0","Click to download SizeChart")</f>
      </c>
      <c r="C2155" s="0" t="inlineStr">
        <is>
          <t>Eva Women's Sleeveless Blouse</t>
        </is>
      </c>
      <c r="D2155" s="1">
        <v>110810</v>
      </c>
      <c r="E2155" s="0" t="inlineStr">
        <is>
          <t>IOWA EVA WHITE:110810A-S</t>
        </is>
      </c>
      <c r="F2155" s="2">
        <v>800110810045</v>
      </c>
      <c r="G2155" s="0" t="inlineStr">
        <is>
          <t>WOMENS</t>
        </is>
      </c>
      <c r="H2155" s="0" t="inlineStr">
        <is>
          <t>S</t>
        </is>
      </c>
      <c r="I2155" s="0">
        <v>49.99</v>
      </c>
      <c r="J2155" s="0">
        <v>40</v>
      </c>
    </row>
    <row r="2156" spans="1:10" customHeight="0">
      <c r="A2156" s="0">
        <f>HYPERLINK("https://dl.dropboxusercontent.com/scl/fi/ujts5tkw4tlstnonta7qs/img0681bc.jpg?rlkey=4u7qqd7m2cc2s3gg5p3tqcx29&amp;dl=0","Click to download Image")</f>
      </c>
      <c r="B2156" s="0">
        <f>HYPERLINK("https://dl.dropboxusercontent.com/scl/fi/ux39po5zh7rh2yvikdxwj/womens-tank-top-size-chartseva.jpg?rlkey=r6nru480b86dz0u9bf27aoswr&amp;dl=0","Click to download SizeChart")</f>
      </c>
      <c r="C2156" s="0" t="inlineStr">
        <is>
          <t>Eva Women's Sleeveless Blouse</t>
        </is>
      </c>
      <c r="D2156" s="1">
        <v>110810</v>
      </c>
      <c r="E2156" s="0" t="inlineStr">
        <is>
          <t>IOWA EVA WHITE:110810B-M</t>
        </is>
      </c>
      <c r="F2156" s="2">
        <v>800110810052</v>
      </c>
      <c r="G2156" s="0" t="inlineStr">
        <is>
          <t>WOMENS</t>
        </is>
      </c>
      <c r="H2156" s="0" t="inlineStr">
        <is>
          <t>M</t>
        </is>
      </c>
      <c r="I2156" s="0">
        <v>49.99</v>
      </c>
      <c r="J2156" s="0">
        <v>55</v>
      </c>
    </row>
    <row r="2157" spans="1:10" customHeight="0">
      <c r="A2157" s="0">
        <f>HYPERLINK("https://dl.dropboxusercontent.com/scl/fi/ujts5tkw4tlstnonta7qs/img0681bc.jpg?rlkey=4u7qqd7m2cc2s3gg5p3tqcx29&amp;dl=0","Click to download Image")</f>
      </c>
      <c r="B2157" s="0">
        <f>HYPERLINK("https://dl.dropboxusercontent.com/scl/fi/ux39po5zh7rh2yvikdxwj/womens-tank-top-size-chartseva.jpg?rlkey=r6nru480b86dz0u9bf27aoswr&amp;dl=0","Click to download SizeChart")</f>
      </c>
      <c r="C2157" s="0" t="inlineStr">
        <is>
          <t>Eva Women's Sleeveless Blouse</t>
        </is>
      </c>
      <c r="D2157" s="1">
        <v>110810</v>
      </c>
      <c r="E2157" s="0" t="inlineStr">
        <is>
          <t>IOWA EVA WHITE:110810C-L</t>
        </is>
      </c>
      <c r="F2157" s="2">
        <v>800110810069</v>
      </c>
      <c r="G2157" s="0" t="inlineStr">
        <is>
          <t>WOMENS</t>
        </is>
      </c>
      <c r="H2157" s="0" t="inlineStr">
        <is>
          <t>L</t>
        </is>
      </c>
      <c r="I2157" s="0">
        <v>49.99</v>
      </c>
      <c r="J2157" s="0">
        <v>36</v>
      </c>
    </row>
    <row r="2158" spans="1:10" customHeight="0">
      <c r="A2158" s="0">
        <f>HYPERLINK("https://dl.dropboxusercontent.com/scl/fi/ujts5tkw4tlstnonta7qs/img0681bc.jpg?rlkey=4u7qqd7m2cc2s3gg5p3tqcx29&amp;dl=0","Click to download Image")</f>
      </c>
      <c r="B2158" s="0">
        <f>HYPERLINK("https://dl.dropboxusercontent.com/scl/fi/ux39po5zh7rh2yvikdxwj/womens-tank-top-size-chartseva.jpg?rlkey=r6nru480b86dz0u9bf27aoswr&amp;dl=0","Click to download SizeChart")</f>
      </c>
      <c r="C2158" s="0" t="inlineStr">
        <is>
          <t>Eva Women's Sleeveless Blouse</t>
        </is>
      </c>
      <c r="D2158" s="1">
        <v>110810</v>
      </c>
      <c r="E2158" s="0" t="inlineStr">
        <is>
          <t>IOWA EVA WHITE:110810D-XL</t>
        </is>
      </c>
      <c r="F2158" s="2">
        <v>800110810076</v>
      </c>
      <c r="G2158" s="0" t="inlineStr">
        <is>
          <t>WOMENS</t>
        </is>
      </c>
      <c r="H2158" s="0" t="inlineStr">
        <is>
          <t>XL</t>
        </is>
      </c>
      <c r="I2158" s="0">
        <v>49.99</v>
      </c>
      <c r="J2158" s="0">
        <v>39</v>
      </c>
    </row>
    <row r="2159" spans="1:10" customHeight="0">
      <c r="A2159" s="0">
        <f>HYPERLINK("https://dl.dropboxusercontent.com/scl/fi/ujts5tkw4tlstnonta7qs/img0681bc.jpg?rlkey=4u7qqd7m2cc2s3gg5p3tqcx29&amp;dl=0","Click to download Image")</f>
      </c>
      <c r="B2159" s="0">
        <f>HYPERLINK("https://dl.dropboxusercontent.com/scl/fi/ux39po5zh7rh2yvikdxwj/womens-tank-top-size-chartseva.jpg?rlkey=r6nru480b86dz0u9bf27aoswr&amp;dl=0","Click to download SizeChart")</f>
      </c>
      <c r="C2159" s="0" t="inlineStr">
        <is>
          <t>Eva Women's Sleeveless Blouse</t>
        </is>
      </c>
      <c r="D2159" s="1">
        <v>110810</v>
      </c>
      <c r="E2159" s="0" t="inlineStr">
        <is>
          <t>IOWA EVA WHITE:110810E-2XL</t>
        </is>
      </c>
      <c r="F2159" s="2">
        <v>800110810083</v>
      </c>
      <c r="G2159" s="0" t="inlineStr">
        <is>
          <t>WOMENS</t>
        </is>
      </c>
      <c r="H2159" s="0" t="inlineStr">
        <is>
          <t>2XL</t>
        </is>
      </c>
      <c r="I2159" s="0">
        <v>51.99</v>
      </c>
      <c r="J2159" s="0">
        <v>23</v>
      </c>
    </row>
    <row r="2160" spans="1:10" customHeight="0">
      <c r="A2160" s="0">
        <f>HYPERLINK("https://dl.dropboxusercontent.com/scl/fi/ujts5tkw4tlstnonta7qs/img0681bc.jpg?rlkey=4u7qqd7m2cc2s3gg5p3tqcx29&amp;dl=0","Click to download Image")</f>
      </c>
      <c r="B2160" s="0">
        <f>HYPERLINK("https://dl.dropboxusercontent.com/scl/fi/ux39po5zh7rh2yvikdxwj/womens-tank-top-size-chartseva.jpg?rlkey=r6nru480b86dz0u9bf27aoswr&amp;dl=0","Click to download SizeChart")</f>
      </c>
      <c r="C2160" s="0" t="inlineStr">
        <is>
          <t>Eva Women's Sleeveless Blouse</t>
        </is>
      </c>
      <c r="D2160" s="1">
        <v>110810</v>
      </c>
      <c r="E2160" s="0" t="inlineStr">
        <is>
          <t>IOWA EVA WHITE:110810F-3XL</t>
        </is>
      </c>
      <c r="F2160" s="2">
        <v>800110810090</v>
      </c>
      <c r="G2160" s="0" t="inlineStr">
        <is>
          <t>WOMENS</t>
        </is>
      </c>
      <c r="H2160" s="0" t="inlineStr">
        <is>
          <t>3XL</t>
        </is>
      </c>
      <c r="I2160" s="0">
        <v>51.99</v>
      </c>
      <c r="J2160" s="0">
        <v>23</v>
      </c>
    </row>
    <row r="2161" spans="1:10" customHeight="0">
      <c r="A2161" s="0">
        <f>HYPERLINK("https://dl.dropboxusercontent.com/scl/fi/ujts5tkw4tlstnonta7qs/img0681bc.jpg?rlkey=4u7qqd7m2cc2s3gg5p3tqcx29&amp;dl=0","Click to download Image")</f>
      </c>
      <c r="B2161" s="0">
        <f>HYPERLINK("https://dl.dropboxusercontent.com/scl/fi/ux39po5zh7rh2yvikdxwj/womens-tank-top-size-chartseva.jpg?rlkey=r6nru480b86dz0u9bf27aoswr&amp;dl=0","Click to download SizeChart")</f>
      </c>
      <c r="C2161" s="0" t="inlineStr">
        <is>
          <t>Eva Women's Sleeveless Blouse</t>
        </is>
      </c>
      <c r="D2161" s="1">
        <v>110810</v>
      </c>
      <c r="E2161" s="0" t="inlineStr">
        <is>
          <t>IOWA EVA WHITE 12 PACK:110810Z-12PK</t>
        </is>
      </c>
      <c r="F2161" s="2">
        <v>800110810991</v>
      </c>
      <c r="G2161" s="0" t="inlineStr">
        <is>
          <t>WOMENS</t>
        </is>
      </c>
      <c r="H2161" s="0" t="inlineStr">
        <is>
          <t>12 PACK</t>
        </is>
      </c>
      <c r="I2161" s="0">
        <v>480</v>
      </c>
      <c r="J2161" s="0">
        <v>0</v>
      </c>
    </row>
    <row r="2162" spans="1:10" customHeight="0">
      <c r="A2162" s="0">
        <f>HYPERLINK("https://dl.dropboxusercontent.com/scl/fi/6l1k8k41s25zo247u2m9b/107224-af.jpg?rlkey=pzagxr4yjgb3qjlxeav4vosx5&amp;dl=0","Click to download Image")</f>
      </c>
      <c r="C2162" s="0" t="inlineStr">
        <is>
          <t>Iowa Everlee Realtree Cap</t>
        </is>
      </c>
      <c r="D2162" s="1">
        <v>107224</v>
      </c>
      <c r="E2162" s="0" t="inlineStr">
        <is>
          <t>EVERLEE:107224</t>
        </is>
      </c>
      <c r="F2162" s="2">
        <v>700107224018</v>
      </c>
      <c r="G2162" s="0" t="inlineStr">
        <is>
          <t>WOMENS</t>
        </is>
      </c>
      <c r="H2162" s="0" t="inlineStr">
        <is>
          <t>WOMENS</t>
        </is>
      </c>
      <c r="I2162" s="0">
        <v>21.99</v>
      </c>
      <c r="J2162" s="0">
        <v>21</v>
      </c>
    </row>
    <row r="2163" spans="1:10" customHeight="0">
      <c r="A2163" s="0">
        <f>HYPERLINK("https://dl.dropboxusercontent.com/scl/fi/w0ojndrfhpyphx0dz0662/frannie.jpg?rlkey=1xh4265f9ol0hzxv2n5hhsb5q&amp;dl=0","Click to download Image")</f>
      </c>
      <c r="B2163" s="0">
        <f>HYPERLINK("https://dl.dropboxusercontent.com/scl/fi/8avcyqknsplu8xc2he65e/graphic-update22022-infant.jpg?rlkey=9wfbmll1y1hx3qtg7bsnbagmd&amp;dl=0","Click to download SizeChart")</f>
      </c>
      <c r="C2163" s="0" t="inlineStr">
        <is>
          <t>Fannie Infant Swim Set</t>
        </is>
      </c>
      <c r="D2163" s="1">
        <v>103644</v>
      </c>
      <c r="E2163" s="0" t="inlineStr">
        <is>
          <t>FRANNIE:103644A-0-3M</t>
        </is>
      </c>
      <c r="G2163" s="0" t="inlineStr">
        <is>
          <t>INFANT</t>
        </is>
      </c>
      <c r="H2163" s="0" t="inlineStr">
        <is>
          <t>0-3M</t>
        </is>
      </c>
      <c r="I2163" s="0">
        <v>24.99</v>
      </c>
      <c r="J2163" s="0">
        <v>105</v>
      </c>
    </row>
    <row r="2164" spans="1:10" customHeight="0">
      <c r="A2164" s="0">
        <f>HYPERLINK("https://dl.dropboxusercontent.com/scl/fi/w0ojndrfhpyphx0dz0662/frannie.jpg?rlkey=1xh4265f9ol0hzxv2n5hhsb5q&amp;dl=0","Click to download Image")</f>
      </c>
      <c r="B2164" s="0">
        <f>HYPERLINK("https://dl.dropboxusercontent.com/scl/fi/8avcyqknsplu8xc2he65e/graphic-update22022-infant.jpg?rlkey=9wfbmll1y1hx3qtg7bsnbagmd&amp;dl=0","Click to download SizeChart")</f>
      </c>
      <c r="C2164" s="0" t="inlineStr">
        <is>
          <t>Fannie Infant Swim Set</t>
        </is>
      </c>
      <c r="D2164" s="1">
        <v>103644</v>
      </c>
      <c r="E2164" s="0" t="inlineStr">
        <is>
          <t>FRANNIE:103644B-3-6M</t>
        </is>
      </c>
      <c r="G2164" s="0" t="inlineStr">
        <is>
          <t>INFANT</t>
        </is>
      </c>
      <c r="H2164" s="0" t="inlineStr">
        <is>
          <t>3-6M</t>
        </is>
      </c>
      <c r="I2164" s="0">
        <v>24.99</v>
      </c>
      <c r="J2164" s="0">
        <v>105</v>
      </c>
    </row>
    <row r="2165" spans="1:10" customHeight="0">
      <c r="A2165" s="0">
        <f>HYPERLINK("https://dl.dropboxusercontent.com/scl/fi/w0ojndrfhpyphx0dz0662/frannie.jpg?rlkey=1xh4265f9ol0hzxv2n5hhsb5q&amp;dl=0","Click to download Image")</f>
      </c>
      <c r="B2165" s="0">
        <f>HYPERLINK("https://dl.dropboxusercontent.com/scl/fi/8avcyqknsplu8xc2he65e/graphic-update22022-infant.jpg?rlkey=9wfbmll1y1hx3qtg7bsnbagmd&amp;dl=0","Click to download SizeChart")</f>
      </c>
      <c r="C2165" s="0" t="inlineStr">
        <is>
          <t>Fannie Infant Swim Set</t>
        </is>
      </c>
      <c r="D2165" s="1">
        <v>103644</v>
      </c>
      <c r="E2165" s="0" t="inlineStr">
        <is>
          <t>FRANNIE:103644C-6-9M</t>
        </is>
      </c>
      <c r="G2165" s="0" t="inlineStr">
        <is>
          <t>INFANT</t>
        </is>
      </c>
      <c r="H2165" s="0" t="inlineStr">
        <is>
          <t>6-9M</t>
        </is>
      </c>
      <c r="I2165" s="0">
        <v>24.99</v>
      </c>
      <c r="J2165" s="0">
        <v>101</v>
      </c>
    </row>
    <row r="2166" spans="1:10" customHeight="0">
      <c r="A2166" s="0">
        <f>HYPERLINK("https://dl.dropboxusercontent.com/scl/fi/w0ojndrfhpyphx0dz0662/frannie.jpg?rlkey=1xh4265f9ol0hzxv2n5hhsb5q&amp;dl=0","Click to download Image")</f>
      </c>
      <c r="B2166" s="0">
        <f>HYPERLINK("https://dl.dropboxusercontent.com/scl/fi/8avcyqknsplu8xc2he65e/graphic-update22022-infant.jpg?rlkey=9wfbmll1y1hx3qtg7bsnbagmd&amp;dl=0","Click to download SizeChart")</f>
      </c>
      <c r="C2166" s="0" t="inlineStr">
        <is>
          <t>Fannie Infant Swim Set</t>
        </is>
      </c>
      <c r="D2166" s="1">
        <v>103644</v>
      </c>
      <c r="E2166" s="0" t="inlineStr">
        <is>
          <t>FRANNIE:103644D-12M</t>
        </is>
      </c>
      <c r="G2166" s="0" t="inlineStr">
        <is>
          <t>INFANT</t>
        </is>
      </c>
      <c r="H2166" s="0" t="inlineStr">
        <is>
          <t>12M</t>
        </is>
      </c>
      <c r="I2166" s="0">
        <v>24.99</v>
      </c>
      <c r="J2166" s="0">
        <v>98</v>
      </c>
    </row>
    <row r="2167" spans="1:10" customHeight="0">
      <c r="A2167" s="0">
        <f>HYPERLINK("https://dl.dropboxusercontent.com/scl/fi/vn3i8z8uf0xuyrf1mjnf8/101193af.jpg?rlkey=uj8e9i2g3tqzgv5bd34y1i0fm&amp;dl=0","Click to download Image")</f>
      </c>
      <c r="C2167" s="0" t="inlineStr">
        <is>
          <t>Farrah Women's Cap</t>
        </is>
      </c>
      <c r="D2167" s="1">
        <v>101193</v>
      </c>
      <c r="E2167" s="0" t="inlineStr">
        <is>
          <t>FARRAH:101193</t>
        </is>
      </c>
      <c r="G2167" s="0" t="inlineStr">
        <is>
          <t>WOMENS</t>
        </is>
      </c>
      <c r="H2167" s="0" t="inlineStr">
        <is>
          <t>WOMENS</t>
        </is>
      </c>
      <c r="I2167" s="0">
        <v>19.99</v>
      </c>
      <c r="J2167" s="0">
        <v>82</v>
      </c>
    </row>
    <row r="2168" spans="1:10" customHeight="0">
      <c r="A2168" s="0">
        <f>HYPERLINK("https://dl.dropboxusercontent.com/scl/fi/8c24fv6owmnmxpwddajmz/106987-af.jpg?rlkey=t8ru3ccouksp9qx5axddk5j3i&amp;dl=0","Click to download Image")</f>
      </c>
      <c r="B2168" s="0">
        <f>HYPERLINK("https://dl.dropboxusercontent.com/scl/fi/7uz37gdukjub0rfanayhz/graphic-update22022-youth.jpg?rlkey=z51cg15qxn67mf0mzmzo38ade&amp;dl=0","Click to download SizeChart")</f>
      </c>
      <c r="C2168" s="0" t="inlineStr">
        <is>
          <t>Gail Youth Ruffled Long Sleeve</t>
        </is>
      </c>
      <c r="D2168" s="1">
        <v>106987</v>
      </c>
      <c r="E2168" s="0" t="inlineStr">
        <is>
          <t>IOWA GAIL:106987B-YS</t>
        </is>
      </c>
      <c r="F2168" s="2">
        <v>800106987010</v>
      </c>
      <c r="G2168" s="0" t="inlineStr">
        <is>
          <t>YOUTH</t>
        </is>
      </c>
      <c r="H2168" s="0" t="inlineStr">
        <is>
          <t>YS</t>
        </is>
      </c>
      <c r="I2168" s="0">
        <v>42.99</v>
      </c>
      <c r="J2168" s="0">
        <v>31</v>
      </c>
    </row>
    <row r="2169" spans="1:10" customHeight="0">
      <c r="A2169" s="0">
        <f>HYPERLINK("https://dl.dropboxusercontent.com/scl/fi/8c24fv6owmnmxpwddajmz/106987-af.jpg?rlkey=t8ru3ccouksp9qx5axddk5j3i&amp;dl=0","Click to download Image")</f>
      </c>
      <c r="B2169" s="0">
        <f>HYPERLINK("https://dl.dropboxusercontent.com/scl/fi/7uz37gdukjub0rfanayhz/graphic-update22022-youth.jpg?rlkey=z51cg15qxn67mf0mzmzo38ade&amp;dl=0","Click to download SizeChart")</f>
      </c>
      <c r="C2169" s="0" t="inlineStr">
        <is>
          <t>Gail Youth Ruffled Long Sleeve</t>
        </is>
      </c>
      <c r="D2169" s="1">
        <v>106987</v>
      </c>
      <c r="E2169" s="0" t="inlineStr">
        <is>
          <t>IOWA GAIL:106987C-YM</t>
        </is>
      </c>
      <c r="F2169" s="2">
        <v>800106987027</v>
      </c>
      <c r="G2169" s="0" t="inlineStr">
        <is>
          <t>YOUTH</t>
        </is>
      </c>
      <c r="H2169" s="0" t="inlineStr">
        <is>
          <t>YM</t>
        </is>
      </c>
      <c r="I2169" s="0">
        <v>42.99</v>
      </c>
      <c r="J2169" s="0">
        <v>28</v>
      </c>
    </row>
    <row r="2170" spans="1:10" customHeight="0">
      <c r="A2170" s="0">
        <f>HYPERLINK("https://dl.dropboxusercontent.com/scl/fi/8c24fv6owmnmxpwddajmz/106987-af.jpg?rlkey=t8ru3ccouksp9qx5axddk5j3i&amp;dl=0","Click to download Image")</f>
      </c>
      <c r="B2170" s="0">
        <f>HYPERLINK("https://dl.dropboxusercontent.com/scl/fi/7uz37gdukjub0rfanayhz/graphic-update22022-youth.jpg?rlkey=z51cg15qxn67mf0mzmzo38ade&amp;dl=0","Click to download SizeChart")</f>
      </c>
      <c r="C2170" s="0" t="inlineStr">
        <is>
          <t>Gail Youth Ruffled Long Sleeve</t>
        </is>
      </c>
      <c r="D2170" s="1">
        <v>106987</v>
      </c>
      <c r="E2170" s="0" t="inlineStr">
        <is>
          <t>IOWA GAIL:106987D-YL</t>
        </is>
      </c>
      <c r="F2170" s="2">
        <v>800106987034</v>
      </c>
      <c r="G2170" s="0" t="inlineStr">
        <is>
          <t>YOUTH</t>
        </is>
      </c>
      <c r="H2170" s="0" t="inlineStr">
        <is>
          <t>YL</t>
        </is>
      </c>
      <c r="I2170" s="0">
        <v>42.99</v>
      </c>
      <c r="J2170" s="0">
        <v>34</v>
      </c>
    </row>
    <row r="2171" spans="1:10" customHeight="0">
      <c r="A2171" s="0">
        <f>HYPERLINK("https://dl.dropboxusercontent.com/scl/fi/8c24fv6owmnmxpwddajmz/106987-af.jpg?rlkey=t8ru3ccouksp9qx5axddk5j3i&amp;dl=0","Click to download Image")</f>
      </c>
      <c r="B2171" s="0">
        <f>HYPERLINK("https://dl.dropboxusercontent.com/scl/fi/7uz37gdukjub0rfanayhz/graphic-update22022-youth.jpg?rlkey=z51cg15qxn67mf0mzmzo38ade&amp;dl=0","Click to download SizeChart")</f>
      </c>
      <c r="C2171" s="0" t="inlineStr">
        <is>
          <t>Gail Youth Ruffled Long Sleeve</t>
        </is>
      </c>
      <c r="D2171" s="1">
        <v>106987</v>
      </c>
      <c r="E2171" s="0" t="inlineStr">
        <is>
          <t>IOWA GAIL:106987E-YXL</t>
        </is>
      </c>
      <c r="F2171" s="2">
        <v>800106987041</v>
      </c>
      <c r="G2171" s="0" t="inlineStr">
        <is>
          <t>YOUTH</t>
        </is>
      </c>
      <c r="H2171" s="0" t="inlineStr">
        <is>
          <t>YXL</t>
        </is>
      </c>
      <c r="I2171" s="0">
        <v>42.99</v>
      </c>
      <c r="J2171" s="0">
        <v>44</v>
      </c>
    </row>
    <row r="2172" spans="1:10" customHeight="0">
      <c r="A2172" s="0">
        <f>HYPERLINK("https://dl.dropboxusercontent.com/scl/fi/8mtk9606wjzs2oyin7d4k/113477af78593.jpg?rlkey=ht4x9ylccsmrfy1edtpeg3lt2&amp;dl=0","Click to download Image")</f>
      </c>
      <c r="C2172" s="0" t="inlineStr">
        <is>
          <t>Caleb Men's Mesh Cap</t>
        </is>
      </c>
      <c r="D2172" s="1">
        <v>113477</v>
      </c>
      <c r="E2172" s="0" t="inlineStr">
        <is>
          <t>IOWA CALEB:113477</t>
        </is>
      </c>
      <c r="F2172" s="2">
        <v>700113477002</v>
      </c>
      <c r="G2172" s="0" t="inlineStr">
        <is>
          <t>MENS</t>
        </is>
      </c>
      <c r="H2172" s="0" t="inlineStr">
        <is>
          <t>STANDARD MENS</t>
        </is>
      </c>
      <c r="I2172" s="0">
        <v>21</v>
      </c>
      <c r="J2172" s="0">
        <v>42</v>
      </c>
    </row>
    <row r="2173" spans="1:10" customHeight="0">
      <c r="A2173" s="0">
        <f>HYPERLINK("https://dl.dropboxusercontent.com/scl/fi/hb39wa6yj5x0clqd0rjov/101495af30907.jpg?rlkey=mz7bzg5a8pq6sxsl5btfzua7d&amp;dl=0","Click to download Image")</f>
      </c>
      <c r="C2173" s="0" t="inlineStr">
        <is>
          <t>Zeke Men's Washed Cap</t>
        </is>
      </c>
      <c r="D2173" s="1">
        <v>101495</v>
      </c>
      <c r="E2173" s="0" t="inlineStr">
        <is>
          <t>ZEKE:101495</t>
        </is>
      </c>
      <c r="F2173" s="2">
        <v>700101495018</v>
      </c>
      <c r="G2173" s="0" t="inlineStr">
        <is>
          <t>MENS</t>
        </is>
      </c>
      <c r="H2173" s="0" t="inlineStr">
        <is>
          <t>STANDARD MENS</t>
        </is>
      </c>
      <c r="I2173" s="0">
        <v>17</v>
      </c>
      <c r="J2173" s="0">
        <v>16</v>
      </c>
    </row>
    <row r="2174" spans="1:10" customHeight="0">
      <c r="A2174" s="0">
        <f>HYPERLINK("https://dl.dropboxusercontent.com/scl/fi/jre6xrfgkfqxec4x7bg8n/113383-af.jpg?rlkey=13j0thfy6cclcyfdgv2de2g8w&amp;dl=0","Click to download Image")</f>
      </c>
      <c r="C2174" s="0" t="inlineStr">
        <is>
          <t>Darrell Men's Mesh Cap</t>
        </is>
      </c>
      <c r="D2174" s="1">
        <v>113384</v>
      </c>
      <c r="E2174" s="0" t="inlineStr">
        <is>
          <t>IOWA DARRELL:113384</t>
        </is>
      </c>
      <c r="F2174" s="2">
        <v>700113384003</v>
      </c>
      <c r="G2174" s="0" t="inlineStr">
        <is>
          <t>MENS</t>
        </is>
      </c>
      <c r="H2174" s="0" t="inlineStr">
        <is>
          <t>STANDARD MENS</t>
        </is>
      </c>
      <c r="I2174" s="0">
        <v>21</v>
      </c>
      <c r="J2174" s="0">
        <v>57</v>
      </c>
    </row>
    <row r="2175" spans="1:10" customHeight="0">
      <c r="A2175" s="0">
        <f>HYPERLINK("https://dl.dropboxusercontent.com/scl/fi/282i3pn692f77lsbdgqwv/91966af52157.jpg?rlkey=z53sq3b69kxj40rbpir81qbuu&amp;dl=0","Click to download Image")</f>
      </c>
      <c r="C2175" s="0" t="inlineStr">
        <is>
          <t>Chenille Men's Cap</t>
        </is>
      </c>
      <c r="D2175" s="1">
        <v>91966</v>
      </c>
      <c r="E2175" s="0" t="inlineStr">
        <is>
          <t>CHENILLE:91966</t>
        </is>
      </c>
      <c r="F2175" s="2">
        <v>700091966017</v>
      </c>
      <c r="G2175" s="0" t="inlineStr">
        <is>
          <t>MENS</t>
        </is>
      </c>
      <c r="H2175" s="0" t="inlineStr">
        <is>
          <t>STANDARD MENS</t>
        </is>
      </c>
      <c r="I2175" s="0">
        <v>8</v>
      </c>
      <c r="J2175" s="0">
        <v>18</v>
      </c>
    </row>
    <row r="2176" spans="1:10" customHeight="0">
      <c r="A2176" s="0">
        <f>HYPERLINK("https://dl.dropboxusercontent.com/scl/fi/x5bl6d83uw7j6exnbmjka/final-dsc3724.jpg?rlkey=ec3bfrugklwewmggfvnqz58o7&amp;dl=0","Click to download Image")</f>
      </c>
      <c r="B2176" s="0">
        <f>HYPERLINK("https://dl.dropboxusercontent.com/scl/fi/3wgada9xvslt6sth083a3/graphic-update2022-womens.jpg?rlkey=1pryfkrsjeu2tb087xgifx9q3&amp;dl=0","Click to download SizeChart")</f>
      </c>
      <c r="C2176" s="0" t="inlineStr">
        <is>
          <t>Diana Women's Cold Shoulder Shirt</t>
        </is>
      </c>
      <c r="D2176" s="1">
        <v>106784</v>
      </c>
      <c r="E2176" s="0" t="inlineStr">
        <is>
          <t>IA DIANA:106784A-S</t>
        </is>
      </c>
      <c r="F2176" s="2">
        <v>800106784015</v>
      </c>
      <c r="G2176" s="0" t="inlineStr">
        <is>
          <t>WOMENS</t>
        </is>
      </c>
      <c r="H2176" s="0" t="inlineStr">
        <is>
          <t>S</t>
        </is>
      </c>
      <c r="I2176" s="0">
        <v>42.99</v>
      </c>
      <c r="J2176" s="0">
        <v>11</v>
      </c>
    </row>
    <row r="2177" spans="1:10" customHeight="0">
      <c r="A2177" s="0">
        <f>HYPERLINK("https://dl.dropboxusercontent.com/scl/fi/x5bl6d83uw7j6exnbmjka/final-dsc3724.jpg?rlkey=ec3bfrugklwewmggfvnqz58o7&amp;dl=0","Click to download Image")</f>
      </c>
      <c r="B2177" s="0">
        <f>HYPERLINK("https://dl.dropboxusercontent.com/scl/fi/3wgada9xvslt6sth083a3/graphic-update2022-womens.jpg?rlkey=1pryfkrsjeu2tb087xgifx9q3&amp;dl=0","Click to download SizeChart")</f>
      </c>
      <c r="C2177" s="0" t="inlineStr">
        <is>
          <t>Diana Women's Cold Shoulder Shirt</t>
        </is>
      </c>
      <c r="D2177" s="1">
        <v>106784</v>
      </c>
      <c r="E2177" s="0" t="inlineStr">
        <is>
          <t>IA DIANA:106784B-M</t>
        </is>
      </c>
      <c r="F2177" s="2">
        <v>800106784022</v>
      </c>
      <c r="G2177" s="0" t="inlineStr">
        <is>
          <t>WOMENS</t>
        </is>
      </c>
      <c r="H2177" s="0" t="inlineStr">
        <is>
          <t>M</t>
        </is>
      </c>
      <c r="I2177" s="0">
        <v>42.99</v>
      </c>
      <c r="J2177" s="0">
        <v>48</v>
      </c>
    </row>
    <row r="2178" spans="1:10" customHeight="0">
      <c r="A2178" s="0">
        <f>HYPERLINK("https://dl.dropboxusercontent.com/scl/fi/x5bl6d83uw7j6exnbmjka/final-dsc3724.jpg?rlkey=ec3bfrugklwewmggfvnqz58o7&amp;dl=0","Click to download Image")</f>
      </c>
      <c r="B2178" s="0">
        <f>HYPERLINK("https://dl.dropboxusercontent.com/scl/fi/3wgada9xvslt6sth083a3/graphic-update2022-womens.jpg?rlkey=1pryfkrsjeu2tb087xgifx9q3&amp;dl=0","Click to download SizeChart")</f>
      </c>
      <c r="C2178" s="0" t="inlineStr">
        <is>
          <t>Diana Women's Cold Shoulder Shirt</t>
        </is>
      </c>
      <c r="D2178" s="1">
        <v>106784</v>
      </c>
      <c r="E2178" s="0" t="inlineStr">
        <is>
          <t>IA DIANA:106784C-L</t>
        </is>
      </c>
      <c r="F2178" s="2">
        <v>800106784039</v>
      </c>
      <c r="G2178" s="0" t="inlineStr">
        <is>
          <t>WOMENS</t>
        </is>
      </c>
      <c r="H2178" s="0" t="inlineStr">
        <is>
          <t>L</t>
        </is>
      </c>
      <c r="I2178" s="0">
        <v>42.99</v>
      </c>
      <c r="J2178" s="0">
        <v>44</v>
      </c>
    </row>
    <row r="2179" spans="1:10" customHeight="0">
      <c r="A2179" s="0">
        <f>HYPERLINK("https://dl.dropboxusercontent.com/scl/fi/x5bl6d83uw7j6exnbmjka/final-dsc3724.jpg?rlkey=ec3bfrugklwewmggfvnqz58o7&amp;dl=0","Click to download Image")</f>
      </c>
      <c r="B2179" s="0">
        <f>HYPERLINK("https://dl.dropboxusercontent.com/scl/fi/3wgada9xvslt6sth083a3/graphic-update2022-womens.jpg?rlkey=1pryfkrsjeu2tb087xgifx9q3&amp;dl=0","Click to download SizeChart")</f>
      </c>
      <c r="C2179" s="0" t="inlineStr">
        <is>
          <t>Diana Women's Cold Shoulder Shirt</t>
        </is>
      </c>
      <c r="D2179" s="1">
        <v>106784</v>
      </c>
      <c r="E2179" s="0" t="inlineStr">
        <is>
          <t>IA DIANA:106784D-XL</t>
        </is>
      </c>
      <c r="F2179" s="2">
        <v>800106784046</v>
      </c>
      <c r="G2179" s="0" t="inlineStr">
        <is>
          <t>WOMENS</t>
        </is>
      </c>
      <c r="H2179" s="0" t="inlineStr">
        <is>
          <t>XL</t>
        </is>
      </c>
      <c r="I2179" s="0">
        <v>42.99</v>
      </c>
      <c r="J2179" s="0">
        <v>14</v>
      </c>
    </row>
    <row r="2180" spans="1:10" customHeight="0">
      <c r="A2180" s="0">
        <f>HYPERLINK("https://dl.dropboxusercontent.com/scl/fi/x5bl6d83uw7j6exnbmjka/final-dsc3724.jpg?rlkey=ec3bfrugklwewmggfvnqz58o7&amp;dl=0","Click to download Image")</f>
      </c>
      <c r="B2180" s="0">
        <f>HYPERLINK("https://dl.dropboxusercontent.com/scl/fi/3wgada9xvslt6sth083a3/graphic-update2022-womens.jpg?rlkey=1pryfkrsjeu2tb087xgifx9q3&amp;dl=0","Click to download SizeChart")</f>
      </c>
      <c r="C2180" s="0" t="inlineStr">
        <is>
          <t>Diana Women's Cold Shoulder Shirt</t>
        </is>
      </c>
      <c r="D2180" s="1">
        <v>106784</v>
      </c>
      <c r="E2180" s="0" t="inlineStr">
        <is>
          <t>IA DIANA:106784E-2XL</t>
        </is>
      </c>
      <c r="F2180" s="2">
        <v>800106784053</v>
      </c>
      <c r="G2180" s="0" t="inlineStr">
        <is>
          <t>WOMENS</t>
        </is>
      </c>
      <c r="H2180" s="0" t="inlineStr">
        <is>
          <t>2XL</t>
        </is>
      </c>
      <c r="I2180" s="0">
        <v>42.99</v>
      </c>
      <c r="J2180" s="0">
        <v>5</v>
      </c>
    </row>
    <row r="2181" spans="1:10" customHeight="0">
      <c r="A2181" s="0">
        <f>HYPERLINK("https://dl.dropboxusercontent.com/scl/fi/x5bl6d83uw7j6exnbmjka/final-dsc3724.jpg?rlkey=ec3bfrugklwewmggfvnqz58o7&amp;dl=0","Click to download Image")</f>
      </c>
      <c r="B2181" s="0">
        <f>HYPERLINK("https://dl.dropboxusercontent.com/scl/fi/3wgada9xvslt6sth083a3/graphic-update2022-womens.jpg?rlkey=1pryfkrsjeu2tb087xgifx9q3&amp;dl=0","Click to download SizeChart")</f>
      </c>
      <c r="C2181" s="0" t="inlineStr">
        <is>
          <t>Diana Women's Cold Shoulder Shirt</t>
        </is>
      </c>
      <c r="D2181" s="1">
        <v>106784</v>
      </c>
      <c r="E2181" s="0" t="inlineStr">
        <is>
          <t>IA DIANA:106784F-3XL</t>
        </is>
      </c>
      <c r="F2181" s="2">
        <v>800106784060</v>
      </c>
      <c r="G2181" s="0" t="inlineStr">
        <is>
          <t>WOMENS</t>
        </is>
      </c>
      <c r="H2181" s="0" t="inlineStr">
        <is>
          <t>3XL</t>
        </is>
      </c>
      <c r="I2181" s="0">
        <v>42.99</v>
      </c>
      <c r="J2181" s="0">
        <v>8</v>
      </c>
    </row>
    <row r="2182" spans="1:10" customHeight="0">
      <c r="A2182" s="0">
        <f>HYPERLINK("https://dl.dropboxusercontent.com/scl/fi/ord46lvd5rsngrsvm6dco/98804af-sd.jpg?rlkey=3f7nzjurtndbx6pnsd3xt8txu&amp;dl=0","Click to download Image")</f>
      </c>
      <c r="C2182" s="0" t="inlineStr">
        <is>
          <t>Grayson Collapsible Duffle</t>
        </is>
      </c>
      <c r="D2182" s="1">
        <v>98804</v>
      </c>
      <c r="E2182" s="0" t="inlineStr">
        <is>
          <t>GRAYSON:98804</t>
        </is>
      </c>
      <c r="H2182" s="0" t="inlineStr">
        <is>
          <t>17" W X 9" H X 6" D</t>
        </is>
      </c>
      <c r="I2182" s="0">
        <v>39.99</v>
      </c>
      <c r="J2182" s="0">
        <v>393</v>
      </c>
    </row>
    <row r="2183" spans="1:10" customHeight="0">
      <c r="A2183" s="0">
        <f>HYPERLINK("https://dl.dropboxusercontent.com/scl/fi/r35q79tu4rvmgp34m9yxb/95641af.jpg?rlkey=jx4l8waq5ty8rp46oaoy3v5yj&amp;dl=0","Click to download Image")</f>
      </c>
      <c r="C2183" s="0" t="inlineStr">
        <is>
          <t>Garret Sweatshirt Duffle</t>
        </is>
      </c>
      <c r="D2183" s="1">
        <v>95641</v>
      </c>
      <c r="E2183" s="0" t="inlineStr">
        <is>
          <t>GARRET:95641 IA</t>
        </is>
      </c>
      <c r="I2183" s="0">
        <v>29.99</v>
      </c>
      <c r="J2183" s="0">
        <v>243</v>
      </c>
    </row>
    <row r="2184" spans="1:10" customHeight="0">
      <c r="A2184" s="0">
        <f>HYPERLINK("https://dl.dropboxusercontent.com/scl/fi/nnmlddud2ynfk7g9vx8m4/monroeia52160.jpg?rlkey=0my2blve17v0h7c0p18qjkhcj&amp;dl=0","Click to download Image")</f>
      </c>
      <c r="C2184" s="0" t="inlineStr">
        <is>
          <t>Monroe Infant Cap</t>
        </is>
      </c>
      <c r="D2184" s="1">
        <v>107022</v>
      </c>
      <c r="E2184" s="0" t="inlineStr">
        <is>
          <t>MONROE:107022</t>
        </is>
      </c>
      <c r="G2184" s="0" t="inlineStr">
        <is>
          <t>INFANT</t>
        </is>
      </c>
      <c r="H2184" s="0" t="inlineStr">
        <is>
          <t>INFANT</t>
        </is>
      </c>
      <c r="I2184" s="0">
        <v>17.99</v>
      </c>
      <c r="J2184" s="0">
        <v>29</v>
      </c>
    </row>
    <row r="2185" spans="1:10" customHeight="0">
      <c r="A2185" s="0">
        <f>HYPERLINK("https://dl.dropboxusercontent.com/scl/fi/pp3ffs3blfwsnvhtqqwqn/dsc5891edit.jpg?rlkey=gvefupbko1b6dp9kgl0qsaet2&amp;dl=0","Click to download Image")</f>
      </c>
      <c r="B2185" s="0">
        <f>HYPERLINK("https://dl.dropboxusercontent.com/scl/fi/ga55cgjwztr9e7lz2ccpz/womens-t-shirt-size-chartsjulie.jpg?rlkey=y5fz8l62uu9ouvp0tifz51wfa&amp;dl=0","Click to download SizeChart")</f>
      </c>
      <c r="C2185" s="0" t="inlineStr">
        <is>
          <t>Julie Women's Bamboo Henley</t>
        </is>
      </c>
      <c r="D2185" s="1">
        <v>111887</v>
      </c>
      <c r="E2185" s="0" t="inlineStr">
        <is>
          <t>IOWA JULIE BLACK:111887AA-XS</t>
        </is>
      </c>
      <c r="F2185" s="2">
        <v>800111887039</v>
      </c>
      <c r="G2185" s="0" t="inlineStr">
        <is>
          <t>WOMENS</t>
        </is>
      </c>
      <c r="H2185" s="0" t="inlineStr">
        <is>
          <t>XS</t>
        </is>
      </c>
      <c r="I2185" s="0">
        <v>29.99</v>
      </c>
      <c r="J2185" s="0">
        <v>11</v>
      </c>
    </row>
    <row r="2186" spans="1:10" customHeight="0">
      <c r="A2186" s="0">
        <f>HYPERLINK("https://dl.dropboxusercontent.com/scl/fi/pp3ffs3blfwsnvhtqqwqn/dsc5891edit.jpg?rlkey=gvefupbko1b6dp9kgl0qsaet2&amp;dl=0","Click to download Image")</f>
      </c>
      <c r="B2186" s="0">
        <f>HYPERLINK("https://dl.dropboxusercontent.com/scl/fi/ga55cgjwztr9e7lz2ccpz/womens-t-shirt-size-chartsjulie.jpg?rlkey=y5fz8l62uu9ouvp0tifz51wfa&amp;dl=0","Click to download SizeChart")</f>
      </c>
      <c r="C2186" s="0" t="inlineStr">
        <is>
          <t>Julie Women's Bamboo Henley</t>
        </is>
      </c>
      <c r="D2186" s="1">
        <v>111887</v>
      </c>
      <c r="E2186" s="0" t="inlineStr">
        <is>
          <t>IOWA JULIE BLACK:111887A-S</t>
        </is>
      </c>
      <c r="F2186" s="2">
        <v>800111887046</v>
      </c>
      <c r="G2186" s="0" t="inlineStr">
        <is>
          <t>WOMENS</t>
        </is>
      </c>
      <c r="H2186" s="0" t="inlineStr">
        <is>
          <t>S</t>
        </is>
      </c>
      <c r="I2186" s="0">
        <v>29.99</v>
      </c>
      <c r="J2186" s="0">
        <v>0</v>
      </c>
    </row>
    <row r="2187" spans="1:10" customHeight="0">
      <c r="A2187" s="0">
        <f>HYPERLINK("https://dl.dropboxusercontent.com/scl/fi/pp3ffs3blfwsnvhtqqwqn/dsc5891edit.jpg?rlkey=gvefupbko1b6dp9kgl0qsaet2&amp;dl=0","Click to download Image")</f>
      </c>
      <c r="B2187" s="0">
        <f>HYPERLINK("https://dl.dropboxusercontent.com/scl/fi/ga55cgjwztr9e7lz2ccpz/womens-t-shirt-size-chartsjulie.jpg?rlkey=y5fz8l62uu9ouvp0tifz51wfa&amp;dl=0","Click to download SizeChart")</f>
      </c>
      <c r="C2187" s="0" t="inlineStr">
        <is>
          <t>Julie Women's Bamboo Henley</t>
        </is>
      </c>
      <c r="D2187" s="1">
        <v>111887</v>
      </c>
      <c r="E2187" s="0" t="inlineStr">
        <is>
          <t>IOWA JULIE BLACK:111887B-M</t>
        </is>
      </c>
      <c r="F2187" s="2">
        <v>800111887053</v>
      </c>
      <c r="G2187" s="0" t="inlineStr">
        <is>
          <t>WOMENS</t>
        </is>
      </c>
      <c r="H2187" s="0" t="inlineStr">
        <is>
          <t>M</t>
        </is>
      </c>
      <c r="I2187" s="0">
        <v>29.99</v>
      </c>
      <c r="J2187" s="0">
        <v>0</v>
      </c>
    </row>
    <row r="2188" spans="1:10" customHeight="0">
      <c r="A2188" s="0">
        <f>HYPERLINK("https://dl.dropboxusercontent.com/scl/fi/pp3ffs3blfwsnvhtqqwqn/dsc5891edit.jpg?rlkey=gvefupbko1b6dp9kgl0qsaet2&amp;dl=0","Click to download Image")</f>
      </c>
      <c r="B2188" s="0">
        <f>HYPERLINK("https://dl.dropboxusercontent.com/scl/fi/ga55cgjwztr9e7lz2ccpz/womens-t-shirt-size-chartsjulie.jpg?rlkey=y5fz8l62uu9ouvp0tifz51wfa&amp;dl=0","Click to download SizeChart")</f>
      </c>
      <c r="C2188" s="0" t="inlineStr">
        <is>
          <t>Julie Women's Bamboo Henley</t>
        </is>
      </c>
      <c r="D2188" s="1">
        <v>111887</v>
      </c>
      <c r="E2188" s="0" t="inlineStr">
        <is>
          <t>IOWA JULIE BLACK:111887C-L</t>
        </is>
      </c>
      <c r="F2188" s="2">
        <v>800111887060</v>
      </c>
      <c r="G2188" s="0" t="inlineStr">
        <is>
          <t>WOMENS</t>
        </is>
      </c>
      <c r="H2188" s="0" t="inlineStr">
        <is>
          <t>L</t>
        </is>
      </c>
      <c r="I2188" s="0">
        <v>29.99</v>
      </c>
      <c r="J2188" s="0">
        <v>0</v>
      </c>
    </row>
    <row r="2189" spans="1:10" customHeight="0">
      <c r="A2189" s="0">
        <f>HYPERLINK("https://dl.dropboxusercontent.com/scl/fi/pp3ffs3blfwsnvhtqqwqn/dsc5891edit.jpg?rlkey=gvefupbko1b6dp9kgl0qsaet2&amp;dl=0","Click to download Image")</f>
      </c>
      <c r="B2189" s="0">
        <f>HYPERLINK("https://dl.dropboxusercontent.com/scl/fi/ga55cgjwztr9e7lz2ccpz/womens-t-shirt-size-chartsjulie.jpg?rlkey=y5fz8l62uu9ouvp0tifz51wfa&amp;dl=0","Click to download SizeChart")</f>
      </c>
      <c r="C2189" s="0" t="inlineStr">
        <is>
          <t>Julie Women's Bamboo Henley</t>
        </is>
      </c>
      <c r="D2189" s="1">
        <v>111887</v>
      </c>
      <c r="E2189" s="0" t="inlineStr">
        <is>
          <t>IOWA JULIE BLACK:111887D-XL</t>
        </is>
      </c>
      <c r="F2189" s="2">
        <v>800111887077</v>
      </c>
      <c r="G2189" s="0" t="inlineStr">
        <is>
          <t>WOMENS</t>
        </is>
      </c>
      <c r="H2189" s="0" t="inlineStr">
        <is>
          <t>XL</t>
        </is>
      </c>
      <c r="I2189" s="0">
        <v>29.99</v>
      </c>
      <c r="J2189" s="0">
        <v>0</v>
      </c>
    </row>
    <row r="2190" spans="1:10" customHeight="0">
      <c r="A2190" s="0">
        <f>HYPERLINK("https://dl.dropboxusercontent.com/scl/fi/pp3ffs3blfwsnvhtqqwqn/dsc5891edit.jpg?rlkey=gvefupbko1b6dp9kgl0qsaet2&amp;dl=0","Click to download Image")</f>
      </c>
      <c r="B2190" s="0">
        <f>HYPERLINK("https://dl.dropboxusercontent.com/scl/fi/ga55cgjwztr9e7lz2ccpz/womens-t-shirt-size-chartsjulie.jpg?rlkey=y5fz8l62uu9ouvp0tifz51wfa&amp;dl=0","Click to download SizeChart")</f>
      </c>
      <c r="C2190" s="0" t="inlineStr">
        <is>
          <t>Julie Women's Bamboo Henley</t>
        </is>
      </c>
      <c r="D2190" s="1">
        <v>111887</v>
      </c>
      <c r="E2190" s="0" t="inlineStr">
        <is>
          <t>IOWA JULIE BLACK:111887E-2XL</t>
        </is>
      </c>
      <c r="F2190" s="2">
        <v>800111887084</v>
      </c>
      <c r="G2190" s="0" t="inlineStr">
        <is>
          <t>WOMENS</t>
        </is>
      </c>
      <c r="H2190" s="0" t="inlineStr">
        <is>
          <t>2XL</t>
        </is>
      </c>
      <c r="I2190" s="0">
        <v>31.99</v>
      </c>
      <c r="J2190" s="0">
        <v>0</v>
      </c>
    </row>
    <row r="2191" spans="1:10" customHeight="0">
      <c r="A2191" s="0">
        <f>HYPERLINK("https://dl.dropboxusercontent.com/scl/fi/pp3ffs3blfwsnvhtqqwqn/dsc5891edit.jpg?rlkey=gvefupbko1b6dp9kgl0qsaet2&amp;dl=0","Click to download Image")</f>
      </c>
      <c r="B2191" s="0">
        <f>HYPERLINK("https://dl.dropboxusercontent.com/scl/fi/ga55cgjwztr9e7lz2ccpz/womens-t-shirt-size-chartsjulie.jpg?rlkey=y5fz8l62uu9ouvp0tifz51wfa&amp;dl=0","Click to download SizeChart")</f>
      </c>
      <c r="C2191" s="0" t="inlineStr">
        <is>
          <t>Julie Women's Bamboo Henley</t>
        </is>
      </c>
      <c r="D2191" s="1">
        <v>111887</v>
      </c>
      <c r="E2191" s="0" t="inlineStr">
        <is>
          <t>IOWA JULIE BLACK:111887F-3XL</t>
        </is>
      </c>
      <c r="F2191" s="2">
        <v>800111887091</v>
      </c>
      <c r="G2191" s="0" t="inlineStr">
        <is>
          <t>WOMENS</t>
        </is>
      </c>
      <c r="H2191" s="0" t="inlineStr">
        <is>
          <t>3XL</t>
        </is>
      </c>
      <c r="I2191" s="0">
        <v>31.99</v>
      </c>
      <c r="J2191" s="0">
        <v>6</v>
      </c>
    </row>
    <row r="2192" spans="1:10" customHeight="0">
      <c r="A2192" s="0">
        <f>HYPERLINK("https://dl.dropboxusercontent.com/scl/fi/pp3ffs3blfwsnvhtqqwqn/dsc5891edit.jpg?rlkey=gvefupbko1b6dp9kgl0qsaet2&amp;dl=0","Click to download Image")</f>
      </c>
      <c r="B2192" s="0">
        <f>HYPERLINK("https://dl.dropboxusercontent.com/scl/fi/ga55cgjwztr9e7lz2ccpz/womens-t-shirt-size-chartsjulie.jpg?rlkey=y5fz8l62uu9ouvp0tifz51wfa&amp;dl=0","Click to download SizeChart")</f>
      </c>
      <c r="C2192" s="0" t="inlineStr">
        <is>
          <t>Julie Women's Bamboo Henley</t>
        </is>
      </c>
      <c r="D2192" s="1">
        <v>111887</v>
      </c>
      <c r="E2192" s="0" t="inlineStr">
        <is>
          <t>IOWA JULIE BLACK 12 PACK:111887Z-12PK</t>
        </is>
      </c>
      <c r="F2192" s="2">
        <v>800111887992</v>
      </c>
      <c r="G2192" s="0" t="inlineStr">
        <is>
          <t>WOMENS</t>
        </is>
      </c>
      <c r="H2192" s="0" t="inlineStr">
        <is>
          <t>12 PACK</t>
        </is>
      </c>
      <c r="I2192" s="0">
        <v>280</v>
      </c>
      <c r="J2192" s="0">
        <v>0</v>
      </c>
    </row>
    <row r="2193" spans="1:10" customHeight="0">
      <c r="A2193" s="0">
        <f>HYPERLINK("https://dl.dropboxusercontent.com/scl/fi/a55r9vulbeky6osb519ic/99671.jpg?rlkey=w6uwwnb9hlj4t2qvwydy7j7z9&amp;dl=0","Click to download Image")</f>
      </c>
      <c r="B2193" s="0">
        <f>HYPERLINK("https://dl.dropboxusercontent.com/scl/fi/n5hhyvirnojqyh47uqltm/graphic-update22022-infant.jpg?rlkey=4lydi4dpi54q9ktba3pyqtuxl&amp;dl=0","Click to download SizeChart")</f>
      </c>
      <c r="C2193" s="0" t="inlineStr">
        <is>
          <t>June Infant Set</t>
        </is>
      </c>
      <c r="D2193" s="1">
        <v>99671</v>
      </c>
      <c r="E2193" s="0" t="inlineStr">
        <is>
          <t>JUNE:99671A-0-3M</t>
        </is>
      </c>
      <c r="G2193" s="0" t="inlineStr">
        <is>
          <t>INFANT</t>
        </is>
      </c>
      <c r="H2193" s="0" t="inlineStr">
        <is>
          <t>0-3M</t>
        </is>
      </c>
      <c r="I2193" s="0">
        <v>34.99</v>
      </c>
      <c r="J2193" s="0">
        <v>12</v>
      </c>
    </row>
    <row r="2194" spans="1:10" customHeight="0">
      <c r="A2194" s="0">
        <f>HYPERLINK("https://dl.dropboxusercontent.com/scl/fi/a55r9vulbeky6osb519ic/99671.jpg?rlkey=w6uwwnb9hlj4t2qvwydy7j7z9&amp;dl=0","Click to download Image")</f>
      </c>
      <c r="B2194" s="0">
        <f>HYPERLINK("https://dl.dropboxusercontent.com/scl/fi/n5hhyvirnojqyh47uqltm/graphic-update22022-infant.jpg?rlkey=4lydi4dpi54q9ktba3pyqtuxl&amp;dl=0","Click to download SizeChart")</f>
      </c>
      <c r="C2194" s="0" t="inlineStr">
        <is>
          <t>June Infant Set</t>
        </is>
      </c>
      <c r="D2194" s="1">
        <v>99671</v>
      </c>
      <c r="E2194" s="0" t="inlineStr">
        <is>
          <t>JUNE:99671B-3-6M</t>
        </is>
      </c>
      <c r="G2194" s="0" t="inlineStr">
        <is>
          <t>INFANT</t>
        </is>
      </c>
      <c r="H2194" s="0" t="inlineStr">
        <is>
          <t>3-6M</t>
        </is>
      </c>
      <c r="I2194" s="0">
        <v>34.99</v>
      </c>
      <c r="J2194" s="0">
        <v>0</v>
      </c>
    </row>
    <row r="2195" spans="1:10" customHeight="0">
      <c r="A2195" s="0">
        <f>HYPERLINK("https://dl.dropboxusercontent.com/scl/fi/a55r9vulbeky6osb519ic/99671.jpg?rlkey=w6uwwnb9hlj4t2qvwydy7j7z9&amp;dl=0","Click to download Image")</f>
      </c>
      <c r="B2195" s="0">
        <f>HYPERLINK("https://dl.dropboxusercontent.com/scl/fi/n5hhyvirnojqyh47uqltm/graphic-update22022-infant.jpg?rlkey=4lydi4dpi54q9ktba3pyqtuxl&amp;dl=0","Click to download SizeChart")</f>
      </c>
      <c r="C2195" s="0" t="inlineStr">
        <is>
          <t>June Infant Set</t>
        </is>
      </c>
      <c r="D2195" s="1">
        <v>99671</v>
      </c>
      <c r="E2195" s="0" t="inlineStr">
        <is>
          <t>JUNE:99671C-6-9M</t>
        </is>
      </c>
      <c r="G2195" s="0" t="inlineStr">
        <is>
          <t>INFANT</t>
        </is>
      </c>
      <c r="H2195" s="0" t="inlineStr">
        <is>
          <t>6-9M</t>
        </is>
      </c>
      <c r="I2195" s="0">
        <v>34.99</v>
      </c>
      <c r="J2195" s="0">
        <v>21</v>
      </c>
    </row>
    <row r="2196" spans="1:10" customHeight="0">
      <c r="A2196" s="0">
        <f>HYPERLINK("https://dl.dropboxusercontent.com/scl/fi/a55r9vulbeky6osb519ic/99671.jpg?rlkey=w6uwwnb9hlj4t2qvwydy7j7z9&amp;dl=0","Click to download Image")</f>
      </c>
      <c r="B2196" s="0">
        <f>HYPERLINK("https://dl.dropboxusercontent.com/scl/fi/n5hhyvirnojqyh47uqltm/graphic-update22022-infant.jpg?rlkey=4lydi4dpi54q9ktba3pyqtuxl&amp;dl=0","Click to download SizeChart")</f>
      </c>
      <c r="C2196" s="0" t="inlineStr">
        <is>
          <t>June Infant Set</t>
        </is>
      </c>
      <c r="D2196" s="1">
        <v>99671</v>
      </c>
      <c r="E2196" s="0" t="inlineStr">
        <is>
          <t>JUNE:99671D-9-12M</t>
        </is>
      </c>
      <c r="G2196" s="0" t="inlineStr">
        <is>
          <t>INFANT</t>
        </is>
      </c>
      <c r="H2196" s="0" t="inlineStr">
        <is>
          <t>12M</t>
        </is>
      </c>
      <c r="I2196" s="0">
        <v>34.99</v>
      </c>
      <c r="J2196" s="0">
        <v>0</v>
      </c>
    </row>
    <row r="2197" spans="1:10" customHeight="0">
      <c r="A2197" s="0">
        <f>HYPERLINK("https://dl.dropboxusercontent.com/scl/fi/e6h9exu6jsetj0hd7o7dc/97010af-1.jpg?rlkey=7sm6hq3ze4tohecynbiza69yk&amp;dl=0","Click to download Image")</f>
      </c>
      <c r="C2197" s="0" t="inlineStr">
        <is>
          <t>Jordan Roll Top Messenger</t>
        </is>
      </c>
      <c r="D2197" s="1">
        <v>97010</v>
      </c>
      <c r="E2197" s="0" t="inlineStr">
        <is>
          <t>JORDAN:97010</t>
        </is>
      </c>
      <c r="H2197" s="0" t="inlineStr">
        <is>
          <t>15" W X 11" H X 5" D</t>
        </is>
      </c>
      <c r="I2197" s="0">
        <v>44.99</v>
      </c>
      <c r="J2197" s="0">
        <v>472</v>
      </c>
    </row>
    <row r="2198" spans="1:10" customHeight="0">
      <c r="A2198" s="0">
        <f>HYPERLINK("https://dl.dropboxusercontent.com/scl/fi/j85nxvwttu7pw5mojszlz/91950-af.jpg?rlkey=mx9hh2cjsx2kqnr7faajx0z4t&amp;dl=0","Click to download Image")</f>
      </c>
      <c r="C2198" s="0" t="inlineStr">
        <is>
          <t>Toiletry Bag</t>
        </is>
      </c>
      <c r="D2198" s="1">
        <v>91950</v>
      </c>
      <c r="E2198" s="0" t="inlineStr">
        <is>
          <t>TOILETRY:91950-TLY</t>
        </is>
      </c>
      <c r="I2198" s="0">
        <v>19.99</v>
      </c>
      <c r="J2198" s="0">
        <v>38</v>
      </c>
    </row>
    <row r="2199" spans="1:10" customHeight="0">
      <c r="A2199" s="0">
        <f>HYPERLINK("https://dl.dropboxusercontent.com/scl/fi/hsf4zkz7iy2n4lq2byepc/97991af.jpg?rlkey=o0d88byp9ko6s4njrpri4l3xq&amp;dl=0","Click to download Image")</f>
      </c>
      <c r="C2199" s="0" t="inlineStr">
        <is>
          <t>Heidi Convertible Crossbody</t>
        </is>
      </c>
      <c r="D2199" s="1">
        <v>97991</v>
      </c>
      <c r="E2199" s="0" t="inlineStr">
        <is>
          <t>HEIDI:97991</t>
        </is>
      </c>
      <c r="H2199" s="0" t="inlineStr">
        <is>
          <t>9" W X 15" H X 3.75" D</t>
        </is>
      </c>
      <c r="I2199" s="0">
        <v>44.99</v>
      </c>
      <c r="J2199" s="0">
        <v>467</v>
      </c>
    </row>
    <row r="2200" spans="1:10" customHeight="0">
      <c r="A2200" s="0">
        <f>HYPERLINK("https://dl.dropboxusercontent.com/scl/fi/kawqgiwmrysv043bmsaa1/109711-af.jpg?rlkey=6dhho66c0f9qff90humu6i4xr&amp;dl=0","Click to download Image")</f>
      </c>
      <c r="B2200" s="0">
        <f>HYPERLINK("https://dl.dropboxusercontent.com/scl/fi/01l8v8n4pjim1c0ide9g4/graphic-update22022-youth.jpg?rlkey=qjvhvd3wwe286lse6s10fglmg&amp;dl=0","Click to download SizeChart")</f>
      </c>
      <c r="C2200" s="0" t="inlineStr">
        <is>
          <t>Harmony Youth Top</t>
        </is>
      </c>
      <c r="D2200" s="1">
        <v>112587</v>
      </c>
      <c r="E2200" s="0" t="inlineStr">
        <is>
          <t>IOWA HARMONY YOUTH GOLD:112587B-YS</t>
        </is>
      </c>
      <c r="F2200" s="2">
        <v>800112587013</v>
      </c>
      <c r="G2200" s="0" t="inlineStr">
        <is>
          <t>YOUTH</t>
        </is>
      </c>
      <c r="H2200" s="0" t="inlineStr">
        <is>
          <t>YS</t>
        </is>
      </c>
      <c r="I2200" s="0">
        <v>19.99</v>
      </c>
      <c r="J2200" s="0">
        <v>26</v>
      </c>
    </row>
    <row r="2201" spans="1:10" customHeight="0">
      <c r="A2201" s="0">
        <f>HYPERLINK("https://dl.dropboxusercontent.com/scl/fi/kawqgiwmrysv043bmsaa1/109711-af.jpg?rlkey=6dhho66c0f9qff90humu6i4xr&amp;dl=0","Click to download Image")</f>
      </c>
      <c r="B2201" s="0">
        <f>HYPERLINK("https://dl.dropboxusercontent.com/scl/fi/01l8v8n4pjim1c0ide9g4/graphic-update22022-youth.jpg?rlkey=qjvhvd3wwe286lse6s10fglmg&amp;dl=0","Click to download SizeChart")</f>
      </c>
      <c r="C2201" s="0" t="inlineStr">
        <is>
          <t>Harmony Youth Top</t>
        </is>
      </c>
      <c r="D2201" s="1">
        <v>112587</v>
      </c>
      <c r="E2201" s="0" t="inlineStr">
        <is>
          <t>IOWA HARMONY YOUTH GOLD:112587C-YM</t>
        </is>
      </c>
      <c r="F2201" s="2">
        <v>800112587020</v>
      </c>
      <c r="G2201" s="0" t="inlineStr">
        <is>
          <t>YOUTH</t>
        </is>
      </c>
      <c r="H2201" s="0" t="inlineStr">
        <is>
          <t>YM</t>
        </is>
      </c>
      <c r="I2201" s="0">
        <v>19.99</v>
      </c>
      <c r="J2201" s="0">
        <v>27</v>
      </c>
    </row>
    <row r="2202" spans="1:10" customHeight="0">
      <c r="A2202" s="0">
        <f>HYPERLINK("https://dl.dropboxusercontent.com/scl/fi/kawqgiwmrysv043bmsaa1/109711-af.jpg?rlkey=6dhho66c0f9qff90humu6i4xr&amp;dl=0","Click to download Image")</f>
      </c>
      <c r="B2202" s="0">
        <f>HYPERLINK("https://dl.dropboxusercontent.com/scl/fi/01l8v8n4pjim1c0ide9g4/graphic-update22022-youth.jpg?rlkey=qjvhvd3wwe286lse6s10fglmg&amp;dl=0","Click to download SizeChart")</f>
      </c>
      <c r="C2202" s="0" t="inlineStr">
        <is>
          <t>Harmony Youth Top</t>
        </is>
      </c>
      <c r="D2202" s="1">
        <v>112587</v>
      </c>
      <c r="E2202" s="0" t="inlineStr">
        <is>
          <t>IOWA HARMONY YOUTH GOLD:112587D-YL</t>
        </is>
      </c>
      <c r="F2202" s="2">
        <v>800112587037</v>
      </c>
      <c r="G2202" s="0" t="inlineStr">
        <is>
          <t>YOUTH</t>
        </is>
      </c>
      <c r="H2202" s="0" t="inlineStr">
        <is>
          <t>YL</t>
        </is>
      </c>
      <c r="I2202" s="0">
        <v>19.99</v>
      </c>
      <c r="J2202" s="0">
        <v>27</v>
      </c>
    </row>
    <row r="2203" spans="1:10" customHeight="0">
      <c r="A2203" s="0">
        <f>HYPERLINK("https://dl.dropboxusercontent.com/scl/fi/kawqgiwmrysv043bmsaa1/109711-af.jpg?rlkey=6dhho66c0f9qff90humu6i4xr&amp;dl=0","Click to download Image")</f>
      </c>
      <c r="B2203" s="0">
        <f>HYPERLINK("https://dl.dropboxusercontent.com/scl/fi/01l8v8n4pjim1c0ide9g4/graphic-update22022-youth.jpg?rlkey=qjvhvd3wwe286lse6s10fglmg&amp;dl=0","Click to download SizeChart")</f>
      </c>
      <c r="C2203" s="0" t="inlineStr">
        <is>
          <t>Harmony Youth Top</t>
        </is>
      </c>
      <c r="D2203" s="1">
        <v>112587</v>
      </c>
      <c r="E2203" s="0" t="inlineStr">
        <is>
          <t>IOWA HARMONY YOUTH GOLD:112587E-YXL</t>
        </is>
      </c>
      <c r="F2203" s="2">
        <v>800112587044</v>
      </c>
      <c r="G2203" s="0" t="inlineStr">
        <is>
          <t>YOUTH</t>
        </is>
      </c>
      <c r="H2203" s="0" t="inlineStr">
        <is>
          <t>YXL</t>
        </is>
      </c>
      <c r="I2203" s="0">
        <v>19.99</v>
      </c>
      <c r="J2203" s="0">
        <v>27</v>
      </c>
    </row>
    <row r="2204" spans="1:10" customHeight="0">
      <c r="A2204" s="0">
        <f>HYPERLINK("https://dl.dropboxusercontent.com/scl/fi/kawqgiwmrysv043bmsaa1/109711-af.jpg?rlkey=6dhho66c0f9qff90humu6i4xr&amp;dl=0","Click to download Image")</f>
      </c>
      <c r="B2204" s="0">
        <f>HYPERLINK("https://dl.dropboxusercontent.com/scl/fi/01l8v8n4pjim1c0ide9g4/graphic-update22022-youth.jpg?rlkey=qjvhvd3wwe286lse6s10fglmg&amp;dl=0","Click to download SizeChart")</f>
      </c>
      <c r="C2204" s="0" t="inlineStr">
        <is>
          <t>Harmony Youth Top</t>
        </is>
      </c>
      <c r="D2204" s="1">
        <v>112587</v>
      </c>
      <c r="E2204" s="0" t="inlineStr">
        <is>
          <t>IOWA HARMONY YOUTH GOLD 12 PACK:112587Z-12PK</t>
        </is>
      </c>
      <c r="F2204" s="2">
        <v>800112587990</v>
      </c>
      <c r="G2204" s="0" t="inlineStr">
        <is>
          <t>YOUTH</t>
        </is>
      </c>
      <c r="H2204" s="0" t="inlineStr">
        <is>
          <t>12 PACK</t>
        </is>
      </c>
      <c r="I2204" s="0">
        <v>203.89</v>
      </c>
      <c r="J2204" s="0">
        <v>0</v>
      </c>
    </row>
    <row r="2205" spans="1:10" customHeight="0">
      <c r="A2205" s="0">
        <f>HYPERLINK("https://dl.dropboxusercontent.com/scl/fi/7cqc8t40a8359qxjdt4xg/premium-bundle4.jpg?rlkey=feops17xu31pwnnmyui7l0ccq&amp;dl=0","Click to download Image")</f>
      </c>
      <c r="C2205" s="0" t="inlineStr">
        <is>
          <t>Premium Assorted Headwear Bundle</t>
        </is>
      </c>
      <c r="E2205" s="0" t="inlineStr">
        <is>
          <t>IOWAPCAP</t>
        </is>
      </c>
      <c r="I2205" s="0">
        <v>2998</v>
      </c>
      <c r="J2205" s="0">
        <v>0</v>
      </c>
    </row>
    <row r="2206" spans="1:10" customHeight="0">
      <c r="A2206" s="0">
        <f>HYPERLINK("https://dl.dropboxusercontent.com/scl/fi/wda6asjtx6rivvobictbr/karen.jpg?rlkey=j8229fogpt7hfrk13p1obfxj2&amp;dl=0","Click to download Image")</f>
      </c>
      <c r="B2206" s="0">
        <f>HYPERLINK("https://dl.dropboxusercontent.com/scl/fi/17w4r48ablkl0luz17mrj/womens-t-shirt-size-chartskaren.jpg?rlkey=114k67rppswz8ptnvpwn202e7&amp;dl=0","Click to download SizeChart")</f>
      </c>
      <c r="C2206" s="0" t="inlineStr">
        <is>
          <t>Karen Women's Twist Knot Crop T-Shirt</t>
        </is>
      </c>
      <c r="D2206" s="1">
        <v>111886</v>
      </c>
      <c r="E2206" s="0" t="inlineStr">
        <is>
          <t>IOWA KAREN WHITE:111886AA-XS</t>
        </is>
      </c>
      <c r="F2206" s="2">
        <v>800111886032</v>
      </c>
      <c r="G2206" s="0" t="inlineStr">
        <is>
          <t>WOMENS</t>
        </is>
      </c>
      <c r="H2206" s="0" t="inlineStr">
        <is>
          <t>XS</t>
        </is>
      </c>
      <c r="I2206" s="0">
        <v>29.99</v>
      </c>
      <c r="J2206" s="0">
        <v>4</v>
      </c>
    </row>
    <row r="2207" spans="1:10" customHeight="0">
      <c r="A2207" s="0">
        <f>HYPERLINK("https://dl.dropboxusercontent.com/scl/fi/wda6asjtx6rivvobictbr/karen.jpg?rlkey=j8229fogpt7hfrk13p1obfxj2&amp;dl=0","Click to download Image")</f>
      </c>
      <c r="B2207" s="0">
        <f>HYPERLINK("https://dl.dropboxusercontent.com/scl/fi/17w4r48ablkl0luz17mrj/womens-t-shirt-size-chartskaren.jpg?rlkey=114k67rppswz8ptnvpwn202e7&amp;dl=0","Click to download SizeChart")</f>
      </c>
      <c r="C2207" s="0" t="inlineStr">
        <is>
          <t>Karen Women's Twist Knot Crop T-Shirt</t>
        </is>
      </c>
      <c r="D2207" s="1">
        <v>111886</v>
      </c>
      <c r="E2207" s="0" t="inlineStr">
        <is>
          <t>IOWA KAREN WHITE:111886A-S</t>
        </is>
      </c>
      <c r="F2207" s="2">
        <v>800111886049</v>
      </c>
      <c r="G2207" s="0" t="inlineStr">
        <is>
          <t>WOMENS</t>
        </is>
      </c>
      <c r="H2207" s="0" t="inlineStr">
        <is>
          <t>S</t>
        </is>
      </c>
      <c r="I2207" s="0">
        <v>29.99</v>
      </c>
      <c r="J2207" s="0">
        <v>0</v>
      </c>
    </row>
    <row r="2208" spans="1:10" customHeight="0">
      <c r="A2208" s="0">
        <f>HYPERLINK("https://dl.dropboxusercontent.com/scl/fi/wda6asjtx6rivvobictbr/karen.jpg?rlkey=j8229fogpt7hfrk13p1obfxj2&amp;dl=0","Click to download Image")</f>
      </c>
      <c r="B2208" s="0">
        <f>HYPERLINK("https://dl.dropboxusercontent.com/scl/fi/17w4r48ablkl0luz17mrj/womens-t-shirt-size-chartskaren.jpg?rlkey=114k67rppswz8ptnvpwn202e7&amp;dl=0","Click to download SizeChart")</f>
      </c>
      <c r="C2208" s="0" t="inlineStr">
        <is>
          <t>Karen Women's Twist Knot Crop T-Shirt</t>
        </is>
      </c>
      <c r="D2208" s="1">
        <v>111886</v>
      </c>
      <c r="E2208" s="0" t="inlineStr">
        <is>
          <t>IOWA KAREN WHITE:111886B-M</t>
        </is>
      </c>
      <c r="F2208" s="2">
        <v>800111886056</v>
      </c>
      <c r="G2208" s="0" t="inlineStr">
        <is>
          <t>WOMENS</t>
        </is>
      </c>
      <c r="H2208" s="0" t="inlineStr">
        <is>
          <t>M</t>
        </is>
      </c>
      <c r="I2208" s="0">
        <v>29.99</v>
      </c>
      <c r="J2208" s="0">
        <v>0</v>
      </c>
    </row>
    <row r="2209" spans="1:10" customHeight="0">
      <c r="A2209" s="0">
        <f>HYPERLINK("https://dl.dropboxusercontent.com/scl/fi/wda6asjtx6rivvobictbr/karen.jpg?rlkey=j8229fogpt7hfrk13p1obfxj2&amp;dl=0","Click to download Image")</f>
      </c>
      <c r="B2209" s="0">
        <f>HYPERLINK("https://dl.dropboxusercontent.com/scl/fi/17w4r48ablkl0luz17mrj/womens-t-shirt-size-chartskaren.jpg?rlkey=114k67rppswz8ptnvpwn202e7&amp;dl=0","Click to download SizeChart")</f>
      </c>
      <c r="C2209" s="0" t="inlineStr">
        <is>
          <t>Karen Women's Twist Knot Crop T-Shirt</t>
        </is>
      </c>
      <c r="D2209" s="1">
        <v>111886</v>
      </c>
      <c r="E2209" s="0" t="inlineStr">
        <is>
          <t>IOWA KAREN WHITE:111886C-L</t>
        </is>
      </c>
      <c r="F2209" s="2">
        <v>800111886063</v>
      </c>
      <c r="G2209" s="0" t="inlineStr">
        <is>
          <t>WOMENS</t>
        </is>
      </c>
      <c r="H2209" s="0" t="inlineStr">
        <is>
          <t>L</t>
        </is>
      </c>
      <c r="I2209" s="0">
        <v>29.99</v>
      </c>
      <c r="J2209" s="0">
        <v>0</v>
      </c>
    </row>
    <row r="2210" spans="1:10" customHeight="0">
      <c r="A2210" s="0">
        <f>HYPERLINK("https://dl.dropboxusercontent.com/scl/fi/wda6asjtx6rivvobictbr/karen.jpg?rlkey=j8229fogpt7hfrk13p1obfxj2&amp;dl=0","Click to download Image")</f>
      </c>
      <c r="B2210" s="0">
        <f>HYPERLINK("https://dl.dropboxusercontent.com/scl/fi/17w4r48ablkl0luz17mrj/womens-t-shirt-size-chartskaren.jpg?rlkey=114k67rppswz8ptnvpwn202e7&amp;dl=0","Click to download SizeChart")</f>
      </c>
      <c r="C2210" s="0" t="inlineStr">
        <is>
          <t>Karen Women's Twist Knot Crop T-Shirt</t>
        </is>
      </c>
      <c r="D2210" s="1">
        <v>111886</v>
      </c>
      <c r="E2210" s="0" t="inlineStr">
        <is>
          <t>IOWA KAREN WHITE:111886D-XL</t>
        </is>
      </c>
      <c r="F2210" s="2">
        <v>800111886070</v>
      </c>
      <c r="G2210" s="0" t="inlineStr">
        <is>
          <t>WOMENS</t>
        </is>
      </c>
      <c r="H2210" s="0" t="inlineStr">
        <is>
          <t>XL</t>
        </is>
      </c>
      <c r="I2210" s="0">
        <v>29.99</v>
      </c>
      <c r="J2210" s="0">
        <v>1</v>
      </c>
    </row>
    <row r="2211" spans="1:10" customHeight="0">
      <c r="A2211" s="0">
        <f>HYPERLINK("https://dl.dropboxusercontent.com/scl/fi/wda6asjtx6rivvobictbr/karen.jpg?rlkey=j8229fogpt7hfrk13p1obfxj2&amp;dl=0","Click to download Image")</f>
      </c>
      <c r="B2211" s="0">
        <f>HYPERLINK("https://dl.dropboxusercontent.com/scl/fi/17w4r48ablkl0luz17mrj/womens-t-shirt-size-chartskaren.jpg?rlkey=114k67rppswz8ptnvpwn202e7&amp;dl=0","Click to download SizeChart")</f>
      </c>
      <c r="C2211" s="0" t="inlineStr">
        <is>
          <t>Karen Women's Twist Knot Crop T-Shirt</t>
        </is>
      </c>
      <c r="D2211" s="1">
        <v>111886</v>
      </c>
      <c r="E2211" s="0" t="inlineStr">
        <is>
          <t>IOWA KAREN WHITE:111886E-2XL</t>
        </is>
      </c>
      <c r="F2211" s="2">
        <v>800111886087</v>
      </c>
      <c r="G2211" s="0" t="inlineStr">
        <is>
          <t>WOMENS</t>
        </is>
      </c>
      <c r="H2211" s="0" t="inlineStr">
        <is>
          <t>2XL</t>
        </is>
      </c>
      <c r="I2211" s="0">
        <v>31.99</v>
      </c>
      <c r="J2211" s="0">
        <v>0</v>
      </c>
    </row>
    <row r="2212" spans="1:10" customHeight="0">
      <c r="A2212" s="0">
        <f>HYPERLINK("https://dl.dropboxusercontent.com/scl/fi/wda6asjtx6rivvobictbr/karen.jpg?rlkey=j8229fogpt7hfrk13p1obfxj2&amp;dl=0","Click to download Image")</f>
      </c>
      <c r="B2212" s="0">
        <f>HYPERLINK("https://dl.dropboxusercontent.com/scl/fi/17w4r48ablkl0luz17mrj/womens-t-shirt-size-chartskaren.jpg?rlkey=114k67rppswz8ptnvpwn202e7&amp;dl=0","Click to download SizeChart")</f>
      </c>
      <c r="C2212" s="0" t="inlineStr">
        <is>
          <t>Karen Women's Twist Knot Crop T-Shirt</t>
        </is>
      </c>
      <c r="D2212" s="1">
        <v>111886</v>
      </c>
      <c r="E2212" s="0" t="inlineStr">
        <is>
          <t>IOWA KAREN WHITE:111886F-3XL</t>
        </is>
      </c>
      <c r="F2212" s="2">
        <v>800111886094</v>
      </c>
      <c r="G2212" s="0" t="inlineStr">
        <is>
          <t>WOMENS</t>
        </is>
      </c>
      <c r="H2212" s="0" t="inlineStr">
        <is>
          <t>3XL</t>
        </is>
      </c>
      <c r="I2212" s="0">
        <v>31.99</v>
      </c>
      <c r="J2212" s="0">
        <v>12</v>
      </c>
    </row>
    <row r="2213" spans="1:10" customHeight="0">
      <c r="A2213" s="0">
        <f>HYPERLINK("https://dl.dropboxusercontent.com/scl/fi/wda6asjtx6rivvobictbr/karen.jpg?rlkey=j8229fogpt7hfrk13p1obfxj2&amp;dl=0","Click to download Image")</f>
      </c>
      <c r="B2213" s="0">
        <f>HYPERLINK("https://dl.dropboxusercontent.com/scl/fi/17w4r48ablkl0luz17mrj/womens-t-shirt-size-chartskaren.jpg?rlkey=114k67rppswz8ptnvpwn202e7&amp;dl=0","Click to download SizeChart")</f>
      </c>
      <c r="C2213" s="0" t="inlineStr">
        <is>
          <t>Karen Women's Twist Knot Crop T-Shirt</t>
        </is>
      </c>
      <c r="D2213" s="1">
        <v>111886</v>
      </c>
      <c r="E2213" s="0" t="inlineStr">
        <is>
          <t>IOWA KAREN WHITE 12 PACK:111886Z-12PK</t>
        </is>
      </c>
      <c r="F2213" s="2">
        <v>800111886995</v>
      </c>
      <c r="G2213" s="0" t="inlineStr">
        <is>
          <t>WOMENS</t>
        </is>
      </c>
      <c r="H2213" s="0" t="inlineStr">
        <is>
          <t>12 PACK</t>
        </is>
      </c>
      <c r="I2213" s="0">
        <v>280</v>
      </c>
      <c r="J2213" s="0">
        <v>0</v>
      </c>
    </row>
    <row r="2214" spans="1:10" customHeight="0">
      <c r="A2214" s="0">
        <f>HYPERLINK("https://dl.dropboxusercontent.com/scl/fi/nunws770yfohr480ueot4/95972af.jpg?rlkey=uy5bwoa6qsyadmhmajdue1xl0&amp;dl=0","Click to download Image")</f>
      </c>
      <c r="C2214" s="0" t="inlineStr">
        <is>
          <t>Katelyn Duffle Bag</t>
        </is>
      </c>
      <c r="D2214" s="1">
        <v>95972</v>
      </c>
      <c r="E2214" s="0" t="inlineStr">
        <is>
          <t>KATELYN:95972</t>
        </is>
      </c>
      <c r="H2214" s="0" t="inlineStr">
        <is>
          <t>21.5" W X 8.5" H  X 8.5" D</t>
        </is>
      </c>
      <c r="I2214" s="0">
        <v>39.99</v>
      </c>
      <c r="J2214" s="0">
        <v>384</v>
      </c>
    </row>
    <row r="2215" spans="1:10" customHeight="0">
      <c r="A2215" s="0">
        <f>HYPERLINK("https://dl.dropboxusercontent.com/scl/fi/0cggqyxeroxq1bolru5gi/111829af.jpg?rlkey=95txykngfu3b4bjj78txq2h0c&amp;dl=0","Click to download Image")</f>
      </c>
      <c r="B2215" s="0">
        <f>HYPERLINK("https://dl.dropboxusercontent.com/scl/fi/mput0zpwfeessspqc9p75/graphic-update2022-womens.jpg?rlkey=uvccmsxr95v1pqjcluzly49l8&amp;dl=0","Click to download SizeChart")</f>
      </c>
      <c r="C2215" s="0" t="inlineStr">
        <is>
          <t>Kayla Women's Crop Cutout Sweatshirt</t>
        </is>
      </c>
      <c r="D2215" s="1">
        <v>111829</v>
      </c>
      <c r="E2215" s="0" t="inlineStr">
        <is>
          <t>IOWA KAYLA CROP:111829AA-XS</t>
        </is>
      </c>
      <c r="F2215" s="2">
        <v>800111829039</v>
      </c>
      <c r="G2215" s="0" t="inlineStr">
        <is>
          <t>WOMENS</t>
        </is>
      </c>
      <c r="H2215" s="0" t="inlineStr">
        <is>
          <t>XS</t>
        </is>
      </c>
      <c r="I2215" s="0">
        <v>49.99</v>
      </c>
      <c r="J2215" s="0">
        <v>24</v>
      </c>
    </row>
    <row r="2216" spans="1:10" customHeight="0">
      <c r="A2216" s="0">
        <f>HYPERLINK("https://dl.dropboxusercontent.com/scl/fi/0cggqyxeroxq1bolru5gi/111829af.jpg?rlkey=95txykngfu3b4bjj78txq2h0c&amp;dl=0","Click to download Image")</f>
      </c>
      <c r="B2216" s="0">
        <f>HYPERLINK("https://dl.dropboxusercontent.com/scl/fi/mput0zpwfeessspqc9p75/graphic-update2022-womens.jpg?rlkey=uvccmsxr95v1pqjcluzly49l8&amp;dl=0","Click to download SizeChart")</f>
      </c>
      <c r="C2216" s="0" t="inlineStr">
        <is>
          <t>Kayla Women's Crop Cutout Sweatshirt</t>
        </is>
      </c>
      <c r="D2216" s="1">
        <v>111829</v>
      </c>
      <c r="E2216" s="0" t="inlineStr">
        <is>
          <t>IOWA KAYLA CROP:111829A-S</t>
        </is>
      </c>
      <c r="F2216" s="2">
        <v>800111829046</v>
      </c>
      <c r="G2216" s="0" t="inlineStr">
        <is>
          <t>WOMENS</t>
        </is>
      </c>
      <c r="H2216" s="0" t="inlineStr">
        <is>
          <t>S</t>
        </is>
      </c>
      <c r="I2216" s="0">
        <v>49.99</v>
      </c>
      <c r="J2216" s="0">
        <v>33</v>
      </c>
    </row>
    <row r="2217" spans="1:10" customHeight="0">
      <c r="A2217" s="0">
        <f>HYPERLINK("https://dl.dropboxusercontent.com/scl/fi/0cggqyxeroxq1bolru5gi/111829af.jpg?rlkey=95txykngfu3b4bjj78txq2h0c&amp;dl=0","Click to download Image")</f>
      </c>
      <c r="B2217" s="0">
        <f>HYPERLINK("https://dl.dropboxusercontent.com/scl/fi/mput0zpwfeessspqc9p75/graphic-update2022-womens.jpg?rlkey=uvccmsxr95v1pqjcluzly49l8&amp;dl=0","Click to download SizeChart")</f>
      </c>
      <c r="C2217" s="0" t="inlineStr">
        <is>
          <t>Kayla Women's Crop Cutout Sweatshirt</t>
        </is>
      </c>
      <c r="D2217" s="1">
        <v>111829</v>
      </c>
      <c r="E2217" s="0" t="inlineStr">
        <is>
          <t>IOWA KAYLA CROP:111829B-M</t>
        </is>
      </c>
      <c r="F2217" s="2">
        <v>800111829053</v>
      </c>
      <c r="G2217" s="0" t="inlineStr">
        <is>
          <t>WOMENS</t>
        </is>
      </c>
      <c r="H2217" s="0" t="inlineStr">
        <is>
          <t>M</t>
        </is>
      </c>
      <c r="I2217" s="0">
        <v>49.99</v>
      </c>
      <c r="J2217" s="0">
        <v>34</v>
      </c>
    </row>
    <row r="2218" spans="1:10" customHeight="0">
      <c r="A2218" s="0">
        <f>HYPERLINK("https://dl.dropboxusercontent.com/scl/fi/0cggqyxeroxq1bolru5gi/111829af.jpg?rlkey=95txykngfu3b4bjj78txq2h0c&amp;dl=0","Click to download Image")</f>
      </c>
      <c r="B2218" s="0">
        <f>HYPERLINK("https://dl.dropboxusercontent.com/scl/fi/mput0zpwfeessspqc9p75/graphic-update2022-womens.jpg?rlkey=uvccmsxr95v1pqjcluzly49l8&amp;dl=0","Click to download SizeChart")</f>
      </c>
      <c r="C2218" s="0" t="inlineStr">
        <is>
          <t>Kayla Women's Crop Cutout Sweatshirt</t>
        </is>
      </c>
      <c r="D2218" s="1">
        <v>111829</v>
      </c>
      <c r="E2218" s="0" t="inlineStr">
        <is>
          <t>IOWA KAYLA CROP:111829C-L</t>
        </is>
      </c>
      <c r="F2218" s="2">
        <v>800111829060</v>
      </c>
      <c r="G2218" s="0" t="inlineStr">
        <is>
          <t>WOMENS</t>
        </is>
      </c>
      <c r="H2218" s="0" t="inlineStr">
        <is>
          <t>L</t>
        </is>
      </c>
      <c r="I2218" s="0">
        <v>49.99</v>
      </c>
      <c r="J2218" s="0">
        <v>21</v>
      </c>
    </row>
    <row r="2219" spans="1:10" customHeight="0">
      <c r="A2219" s="0">
        <f>HYPERLINK("https://dl.dropboxusercontent.com/scl/fi/0cggqyxeroxq1bolru5gi/111829af.jpg?rlkey=95txykngfu3b4bjj78txq2h0c&amp;dl=0","Click to download Image")</f>
      </c>
      <c r="B2219" s="0">
        <f>HYPERLINK("https://dl.dropboxusercontent.com/scl/fi/mput0zpwfeessspqc9p75/graphic-update2022-womens.jpg?rlkey=uvccmsxr95v1pqjcluzly49l8&amp;dl=0","Click to download SizeChart")</f>
      </c>
      <c r="C2219" s="0" t="inlineStr">
        <is>
          <t>Kayla Women's Crop Cutout Sweatshirt</t>
        </is>
      </c>
      <c r="D2219" s="1">
        <v>111829</v>
      </c>
      <c r="E2219" s="0" t="inlineStr">
        <is>
          <t>IOWA KAYLA CROP:111829D-XL</t>
        </is>
      </c>
      <c r="F2219" s="2">
        <v>800111829077</v>
      </c>
      <c r="G2219" s="0" t="inlineStr">
        <is>
          <t>WOMENS</t>
        </is>
      </c>
      <c r="H2219" s="0" t="inlineStr">
        <is>
          <t>XL</t>
        </is>
      </c>
      <c r="I2219" s="0">
        <v>49.99</v>
      </c>
      <c r="J2219" s="0">
        <v>27</v>
      </c>
    </row>
    <row r="2220" spans="1:10" customHeight="0">
      <c r="A2220" s="0">
        <f>HYPERLINK("https://dl.dropboxusercontent.com/scl/fi/0cggqyxeroxq1bolru5gi/111829af.jpg?rlkey=95txykngfu3b4bjj78txq2h0c&amp;dl=0","Click to download Image")</f>
      </c>
      <c r="B2220" s="0">
        <f>HYPERLINK("https://dl.dropboxusercontent.com/scl/fi/mput0zpwfeessspqc9p75/graphic-update2022-womens.jpg?rlkey=uvccmsxr95v1pqjcluzly49l8&amp;dl=0","Click to download SizeChart")</f>
      </c>
      <c r="C2220" s="0" t="inlineStr">
        <is>
          <t>Kayla Women's Crop Cutout Sweatshirt</t>
        </is>
      </c>
      <c r="D2220" s="1">
        <v>111829</v>
      </c>
      <c r="E2220" s="0" t="inlineStr">
        <is>
          <t>IOWA KAYLA CROP:111829E-2XL</t>
        </is>
      </c>
      <c r="F2220" s="2">
        <v>800111829084</v>
      </c>
      <c r="G2220" s="0" t="inlineStr">
        <is>
          <t>WOMENS</t>
        </is>
      </c>
      <c r="H2220" s="0" t="inlineStr">
        <is>
          <t>2XL</t>
        </is>
      </c>
      <c r="I2220" s="0">
        <v>51.99</v>
      </c>
      <c r="J2220" s="0">
        <v>11</v>
      </c>
    </row>
    <row r="2221" spans="1:10" customHeight="0">
      <c r="A2221" s="0">
        <f>HYPERLINK("https://dl.dropboxusercontent.com/scl/fi/0cggqyxeroxq1bolru5gi/111829af.jpg?rlkey=95txykngfu3b4bjj78txq2h0c&amp;dl=0","Click to download Image")</f>
      </c>
      <c r="B2221" s="0">
        <f>HYPERLINK("https://dl.dropboxusercontent.com/scl/fi/mput0zpwfeessspqc9p75/graphic-update2022-womens.jpg?rlkey=uvccmsxr95v1pqjcluzly49l8&amp;dl=0","Click to download SizeChart")</f>
      </c>
      <c r="C2221" s="0" t="inlineStr">
        <is>
          <t>Kayla Women's Crop Cutout Sweatshirt</t>
        </is>
      </c>
      <c r="D2221" s="1">
        <v>111829</v>
      </c>
      <c r="E2221" s="0" t="inlineStr">
        <is>
          <t>IOWA KAYLA CROP:111829F-3XL</t>
        </is>
      </c>
      <c r="F2221" s="2">
        <v>800111829091</v>
      </c>
      <c r="G2221" s="0" t="inlineStr">
        <is>
          <t>WOMENS</t>
        </is>
      </c>
      <c r="H2221" s="0" t="inlineStr">
        <is>
          <t>3XL</t>
        </is>
      </c>
      <c r="I2221" s="0">
        <v>51.99</v>
      </c>
      <c r="J2221" s="0">
        <v>12</v>
      </c>
    </row>
    <row r="2222" spans="1:10" customHeight="0">
      <c r="A2222" s="0">
        <f>HYPERLINK("https://dl.dropboxusercontent.com/scl/fi/0cggqyxeroxq1bolru5gi/111829af.jpg?rlkey=95txykngfu3b4bjj78txq2h0c&amp;dl=0","Click to download Image")</f>
      </c>
      <c r="B2222" s="0">
        <f>HYPERLINK("https://dl.dropboxusercontent.com/scl/fi/mput0zpwfeessspqc9p75/graphic-update2022-womens.jpg?rlkey=uvccmsxr95v1pqjcluzly49l8&amp;dl=0","Click to download SizeChart")</f>
      </c>
      <c r="C2222" s="0" t="inlineStr">
        <is>
          <t>Kayla Women's Crop Cutout Sweatshirt</t>
        </is>
      </c>
      <c r="D2222" s="1">
        <v>111829</v>
      </c>
      <c r="E2222" s="0" t="inlineStr">
        <is>
          <t>IOWA KAYLA CROP 12 PACK:111829Z-12PK</t>
        </is>
      </c>
      <c r="F2222" s="2">
        <v>800111829992</v>
      </c>
      <c r="G2222" s="0" t="inlineStr">
        <is>
          <t>WOMENS</t>
        </is>
      </c>
      <c r="H2222" s="0" t="inlineStr">
        <is>
          <t>12 PACK</t>
        </is>
      </c>
      <c r="I2222" s="0">
        <v>480</v>
      </c>
      <c r="J2222" s="0">
        <v>0</v>
      </c>
    </row>
    <row r="2223" spans="1:10" customHeight="0">
      <c r="A2223" s="0">
        <f>HYPERLINK("https://dl.dropboxusercontent.com/scl/fi/ey7pwfpuwjt29pmx87puu/98492-f-full-outfit.jpg?rlkey=j2foyqg3o0k7nkt1xobmmboir&amp;dl=0","Click to download Image")</f>
      </c>
      <c r="C2223" s="0" t="inlineStr">
        <is>
          <t>Kendall Infant Set</t>
        </is>
      </c>
      <c r="D2223" s="1">
        <v>98491</v>
      </c>
      <c r="E2223" s="0" t="inlineStr">
        <is>
          <t>KENDALL:98491A-0-3M</t>
        </is>
      </c>
      <c r="G2223" s="0" t="inlineStr">
        <is>
          <t>INFANT</t>
        </is>
      </c>
      <c r="H2223" s="0" t="inlineStr">
        <is>
          <t>0-3M</t>
        </is>
      </c>
      <c r="I2223" s="0">
        <v>34.99</v>
      </c>
      <c r="J2223" s="0">
        <v>173</v>
      </c>
    </row>
    <row r="2224" spans="1:10" customHeight="0">
      <c r="A2224" s="0">
        <f>HYPERLINK("https://dl.dropboxusercontent.com/scl/fi/ey7pwfpuwjt29pmx87puu/98492-f-full-outfit.jpg?rlkey=j2foyqg3o0k7nkt1xobmmboir&amp;dl=0","Click to download Image")</f>
      </c>
      <c r="C2224" s="0" t="inlineStr">
        <is>
          <t>Kendall Infant Set</t>
        </is>
      </c>
      <c r="D2224" s="1">
        <v>98491</v>
      </c>
      <c r="E2224" s="0" t="inlineStr">
        <is>
          <t>KENDALL:98491B- 3-6M</t>
        </is>
      </c>
      <c r="G2224" s="0" t="inlineStr">
        <is>
          <t>INFANT</t>
        </is>
      </c>
      <c r="H2224" s="0" t="inlineStr">
        <is>
          <t>3-6M</t>
        </is>
      </c>
      <c r="I2224" s="0">
        <v>34.99</v>
      </c>
      <c r="J2224" s="0">
        <v>165</v>
      </c>
    </row>
    <row r="2225" spans="1:10" customHeight="0">
      <c r="A2225" s="0">
        <f>HYPERLINK("https://dl.dropboxusercontent.com/scl/fi/ey7pwfpuwjt29pmx87puu/98492-f-full-outfit.jpg?rlkey=j2foyqg3o0k7nkt1xobmmboir&amp;dl=0","Click to download Image")</f>
      </c>
      <c r="C2225" s="0" t="inlineStr">
        <is>
          <t>Kendall Infant Set</t>
        </is>
      </c>
      <c r="D2225" s="1">
        <v>98491</v>
      </c>
      <c r="E2225" s="0" t="inlineStr">
        <is>
          <t>KENDALL:98491C- 6-9M</t>
        </is>
      </c>
      <c r="G2225" s="0" t="inlineStr">
        <is>
          <t>INFANT</t>
        </is>
      </c>
      <c r="H2225" s="0" t="inlineStr">
        <is>
          <t>6-9M</t>
        </is>
      </c>
      <c r="I2225" s="0">
        <v>34.99</v>
      </c>
      <c r="J2225" s="0">
        <v>152</v>
      </c>
    </row>
    <row r="2226" spans="1:10" customHeight="0">
      <c r="A2226" s="0">
        <f>HYPERLINK("https://dl.dropboxusercontent.com/scl/fi/ey7pwfpuwjt29pmx87puu/98492-f-full-outfit.jpg?rlkey=j2foyqg3o0k7nkt1xobmmboir&amp;dl=0","Click to download Image")</f>
      </c>
      <c r="C2226" s="0" t="inlineStr">
        <is>
          <t>Kendall Infant Set</t>
        </is>
      </c>
      <c r="D2226" s="1">
        <v>98491</v>
      </c>
      <c r="E2226" s="0" t="inlineStr">
        <is>
          <t>KENDALL:98491D- 9-12M</t>
        </is>
      </c>
      <c r="G2226" s="0" t="inlineStr">
        <is>
          <t>INFANT</t>
        </is>
      </c>
      <c r="H2226" s="0" t="inlineStr">
        <is>
          <t>12M</t>
        </is>
      </c>
      <c r="I2226" s="0">
        <v>34.99</v>
      </c>
      <c r="J2226" s="0">
        <v>172</v>
      </c>
    </row>
    <row r="2227" spans="1:10" customHeight="0">
      <c r="A2227" s="0">
        <f>HYPERLINK("https://dl.dropboxusercontent.com/scl/fi/xwvhqkta9adjt38ikka4n/94275af.jpg?rlkey=5k3c7v13q0vr6h74r9hkujpzn&amp;dl=0","Click to download Image")</f>
      </c>
      <c r="C2227" s="0" t="inlineStr">
        <is>
          <t>Kenneth Duffle Bag</t>
        </is>
      </c>
      <c r="D2227" s="1">
        <v>94275</v>
      </c>
      <c r="E2227" s="0" t="inlineStr">
        <is>
          <t>KENNETH:94275</t>
        </is>
      </c>
      <c r="H2227" s="0" t="inlineStr">
        <is>
          <t>9.5" W X 25" H  X 11.5" D</t>
        </is>
      </c>
      <c r="I2227" s="0">
        <v>38.99</v>
      </c>
      <c r="J2227" s="0">
        <v>127</v>
      </c>
    </row>
    <row r="2228" spans="1:10" customHeight="0">
      <c r="A2228" s="0">
        <f>HYPERLINK("https://dl.dropboxusercontent.com/scl/fi/2ll5zz8dvo3j1hdn9mp8l/99982af.jpg?rlkey=s0b31ql0i39agivqvgyd1gsu7&amp;dl=0","Click to download Image")</f>
      </c>
      <c r="C2228" s="0" t="inlineStr">
        <is>
          <t>Lara Convertible Backpack Duffle</t>
        </is>
      </c>
      <c r="D2228" s="1">
        <v>99982</v>
      </c>
      <c r="E2228" s="0" t="inlineStr">
        <is>
          <t>LARA:99982</t>
        </is>
      </c>
      <c r="H2228" s="0" t="inlineStr">
        <is>
          <t>19" W X 10.25" H  X 9.5" D</t>
        </is>
      </c>
      <c r="I2228" s="0">
        <v>39.99</v>
      </c>
      <c r="J2228" s="0">
        <v>439</v>
      </c>
    </row>
    <row r="2229" spans="1:10" customHeight="0">
      <c r="A2229" s="0">
        <f>HYPERLINK("https://dl.dropboxusercontent.com/scl/fi/ihzie21l6ctus7gyf49po/ia-b.jpg?rlkey=hjstd7xv246msjup6tfqr8ydi&amp;dl=0","Click to download Image")</f>
      </c>
      <c r="B2229" s="0">
        <f>HYPERLINK("https://dl.dropboxusercontent.com/scl/fi/uxl0nxd0wnil745s1rhbq/mens-hoodie-size-charts-beckley.jpg?rlkey=4qgb7c0qapsw1gu9ru8r5r94n&amp;dl=0","Click to download SizeChart")</f>
      </c>
      <c r="C2229" s="0" t="inlineStr">
        <is>
          <t>Beckley Mens Hoodie</t>
        </is>
      </c>
      <c r="D2229" s="1">
        <v>109614</v>
      </c>
      <c r="E2229" s="0" t="inlineStr">
        <is>
          <t>IOWA BECKLEY BLACK:109614A-S</t>
        </is>
      </c>
      <c r="F2229" s="2">
        <v>800109614012</v>
      </c>
      <c r="G2229" s="0" t="inlineStr">
        <is>
          <t>MENS</t>
        </is>
      </c>
      <c r="H2229" s="0" t="inlineStr">
        <is>
          <t>S</t>
        </is>
      </c>
      <c r="I2229" s="0">
        <v>52.99</v>
      </c>
      <c r="J2229" s="0">
        <v>4</v>
      </c>
    </row>
    <row r="2230" spans="1:10" customHeight="0">
      <c r="A2230" s="0">
        <f>HYPERLINK("https://dl.dropboxusercontent.com/scl/fi/ihzie21l6ctus7gyf49po/ia-b.jpg?rlkey=hjstd7xv246msjup6tfqr8ydi&amp;dl=0","Click to download Image")</f>
      </c>
      <c r="B2230" s="0">
        <f>HYPERLINK("https://dl.dropboxusercontent.com/scl/fi/uxl0nxd0wnil745s1rhbq/mens-hoodie-size-charts-beckley.jpg?rlkey=4qgb7c0qapsw1gu9ru8r5r94n&amp;dl=0","Click to download SizeChart")</f>
      </c>
      <c r="C2230" s="0" t="inlineStr">
        <is>
          <t>Beckley Mens Hoodie</t>
        </is>
      </c>
      <c r="D2230" s="1">
        <v>109614</v>
      </c>
      <c r="E2230" s="0" t="inlineStr">
        <is>
          <t>IOWA BECKLEY BLACK:109614B-M</t>
        </is>
      </c>
      <c r="F2230" s="2">
        <v>800109614029</v>
      </c>
      <c r="G2230" s="0" t="inlineStr">
        <is>
          <t>MENS</t>
        </is>
      </c>
      <c r="H2230" s="0" t="inlineStr">
        <is>
          <t>M</t>
        </is>
      </c>
      <c r="I2230" s="0">
        <v>52.99</v>
      </c>
      <c r="J2230" s="0">
        <v>5</v>
      </c>
    </row>
    <row r="2231" spans="1:10" customHeight="0">
      <c r="A2231" s="0">
        <f>HYPERLINK("https://dl.dropboxusercontent.com/scl/fi/ihzie21l6ctus7gyf49po/ia-b.jpg?rlkey=hjstd7xv246msjup6tfqr8ydi&amp;dl=0","Click to download Image")</f>
      </c>
      <c r="B2231" s="0">
        <f>HYPERLINK("https://dl.dropboxusercontent.com/scl/fi/uxl0nxd0wnil745s1rhbq/mens-hoodie-size-charts-beckley.jpg?rlkey=4qgb7c0qapsw1gu9ru8r5r94n&amp;dl=0","Click to download SizeChart")</f>
      </c>
      <c r="C2231" s="0" t="inlineStr">
        <is>
          <t>Beckley Mens Hoodie</t>
        </is>
      </c>
      <c r="D2231" s="1">
        <v>109614</v>
      </c>
      <c r="E2231" s="0" t="inlineStr">
        <is>
          <t>IOWA BECKLEY BLACK:109614C-L</t>
        </is>
      </c>
      <c r="F2231" s="2">
        <v>800109614036</v>
      </c>
      <c r="G2231" s="0" t="inlineStr">
        <is>
          <t>MENS</t>
        </is>
      </c>
      <c r="H2231" s="0" t="inlineStr">
        <is>
          <t>L</t>
        </is>
      </c>
      <c r="I2231" s="0">
        <v>52.99</v>
      </c>
      <c r="J2231" s="0">
        <v>0</v>
      </c>
    </row>
    <row r="2232" spans="1:10" customHeight="0">
      <c r="A2232" s="0">
        <f>HYPERLINK("https://dl.dropboxusercontent.com/scl/fi/ihzie21l6ctus7gyf49po/ia-b.jpg?rlkey=hjstd7xv246msjup6tfqr8ydi&amp;dl=0","Click to download Image")</f>
      </c>
      <c r="B2232" s="0">
        <f>HYPERLINK("https://dl.dropboxusercontent.com/scl/fi/uxl0nxd0wnil745s1rhbq/mens-hoodie-size-charts-beckley.jpg?rlkey=4qgb7c0qapsw1gu9ru8r5r94n&amp;dl=0","Click to download SizeChart")</f>
      </c>
      <c r="C2232" s="0" t="inlineStr">
        <is>
          <t>Beckley Mens Hoodie</t>
        </is>
      </c>
      <c r="D2232" s="1">
        <v>109614</v>
      </c>
      <c r="E2232" s="0" t="inlineStr">
        <is>
          <t>IOWA BECKLEY BLACK:109614D-XL</t>
        </is>
      </c>
      <c r="F2232" s="2">
        <v>800109614043</v>
      </c>
      <c r="G2232" s="0" t="inlineStr">
        <is>
          <t>MENS</t>
        </is>
      </c>
      <c r="H2232" s="0" t="inlineStr">
        <is>
          <t>XL</t>
        </is>
      </c>
      <c r="I2232" s="0">
        <v>52.99</v>
      </c>
      <c r="J2232" s="0">
        <v>0</v>
      </c>
    </row>
    <row r="2233" spans="1:10" customHeight="0">
      <c r="A2233" s="0">
        <f>HYPERLINK("https://dl.dropboxusercontent.com/scl/fi/ihzie21l6ctus7gyf49po/ia-b.jpg?rlkey=hjstd7xv246msjup6tfqr8ydi&amp;dl=0","Click to download Image")</f>
      </c>
      <c r="B2233" s="0">
        <f>HYPERLINK("https://dl.dropboxusercontent.com/scl/fi/uxl0nxd0wnil745s1rhbq/mens-hoodie-size-charts-beckley.jpg?rlkey=4qgb7c0qapsw1gu9ru8r5r94n&amp;dl=0","Click to download SizeChart")</f>
      </c>
      <c r="C2233" s="0" t="inlineStr">
        <is>
          <t>Beckley Mens Hoodie</t>
        </is>
      </c>
      <c r="D2233" s="1">
        <v>109614</v>
      </c>
      <c r="E2233" s="0" t="inlineStr">
        <is>
          <t>IOWA BECKLEY BLACK:109614E-2XL</t>
        </is>
      </c>
      <c r="F2233" s="2">
        <v>800109614050</v>
      </c>
      <c r="G2233" s="0" t="inlineStr">
        <is>
          <t>MENS</t>
        </is>
      </c>
      <c r="H2233" s="0" t="inlineStr">
        <is>
          <t>2XL</t>
        </is>
      </c>
      <c r="I2233" s="0">
        <v>54.99</v>
      </c>
      <c r="J2233" s="0">
        <v>2</v>
      </c>
    </row>
    <row r="2234" spans="1:10" customHeight="0">
      <c r="A2234" s="0">
        <f>HYPERLINK("https://dl.dropboxusercontent.com/scl/fi/ihzie21l6ctus7gyf49po/ia-b.jpg?rlkey=hjstd7xv246msjup6tfqr8ydi&amp;dl=0","Click to download Image")</f>
      </c>
      <c r="B2234" s="0">
        <f>HYPERLINK("https://dl.dropboxusercontent.com/scl/fi/uxl0nxd0wnil745s1rhbq/mens-hoodie-size-charts-beckley.jpg?rlkey=4qgb7c0qapsw1gu9ru8r5r94n&amp;dl=0","Click to download SizeChart")</f>
      </c>
      <c r="C2234" s="0" t="inlineStr">
        <is>
          <t>Beckley Mens Hoodie</t>
        </is>
      </c>
      <c r="D2234" s="1">
        <v>109614</v>
      </c>
      <c r="E2234" s="0" t="inlineStr">
        <is>
          <t>IOWA BECKLEY BLACK:109614F-3XL</t>
        </is>
      </c>
      <c r="F2234" s="2">
        <v>800109614067</v>
      </c>
      <c r="G2234" s="0" t="inlineStr">
        <is>
          <t>MENS</t>
        </is>
      </c>
      <c r="H2234" s="0" t="inlineStr">
        <is>
          <t>3XL</t>
        </is>
      </c>
      <c r="I2234" s="0">
        <v>54.99</v>
      </c>
      <c r="J2234" s="0">
        <v>3</v>
      </c>
    </row>
    <row r="2235" spans="1:10" customHeight="0">
      <c r="A2235" s="0">
        <f>HYPERLINK("https://dl.dropboxusercontent.com/scl/fi/ihzie21l6ctus7gyf49po/ia-b.jpg?rlkey=hjstd7xv246msjup6tfqr8ydi&amp;dl=0","Click to download Image")</f>
      </c>
      <c r="B2235" s="0">
        <f>HYPERLINK("https://dl.dropboxusercontent.com/scl/fi/uxl0nxd0wnil745s1rhbq/mens-hoodie-size-charts-beckley.jpg?rlkey=4qgb7c0qapsw1gu9ru8r5r94n&amp;dl=0","Click to download SizeChart")</f>
      </c>
      <c r="C2235" s="0" t="inlineStr">
        <is>
          <t>Beckley Mens Hoodie</t>
        </is>
      </c>
      <c r="D2235" s="1">
        <v>109614</v>
      </c>
      <c r="E2235" s="0" t="inlineStr">
        <is>
          <t>IOWA BECKLEY BLACK 12 PACK:109614Z-12PK</t>
        </is>
      </c>
      <c r="F2235" s="2">
        <v>800109614104</v>
      </c>
      <c r="G2235" s="0" t="inlineStr">
        <is>
          <t>MENS</t>
        </is>
      </c>
      <c r="H2235" s="0" t="inlineStr">
        <is>
          <t>12 PACK</t>
        </is>
      </c>
      <c r="I2235" s="0">
        <v>617.88</v>
      </c>
      <c r="J2235" s="0">
        <v>0</v>
      </c>
    </row>
    <row r="2236" spans="1:10" customHeight="0">
      <c r="A2236" s="0">
        <f>HYPERLINK("https://dl.dropboxusercontent.com/scl/fi/hopncyojpxbe4ihsnq1ly/iagreyaf.png?rlkey=5jkdg93ewreel911sl38vjkdo&amp;dl=0","Click to download Image")</f>
      </c>
      <c r="B2236" s="0">
        <f>HYPERLINK("https://dl.dropboxusercontent.com/scl/fi/uxl0nxd0wnil745s1rhbq/mens-hoodie-size-charts-beckley.jpg?rlkey=4qgb7c0qapsw1gu9ru8r5r94n&amp;dl=0","Click to download SizeChart")</f>
      </c>
      <c r="C2236" s="0" t="inlineStr">
        <is>
          <t>Beckley Mens Hoodie</t>
        </is>
      </c>
      <c r="D2236" s="1">
        <v>111532</v>
      </c>
      <c r="E2236" s="0" t="inlineStr">
        <is>
          <t>IOWA BECKLEY LT GREY:111532A-S</t>
        </is>
      </c>
      <c r="F2236" s="2">
        <v>800111532045</v>
      </c>
      <c r="G2236" s="0" t="inlineStr">
        <is>
          <t>MENS</t>
        </is>
      </c>
      <c r="H2236" s="0" t="inlineStr">
        <is>
          <t>S</t>
        </is>
      </c>
      <c r="I2236" s="0">
        <v>52.99</v>
      </c>
      <c r="J2236" s="0">
        <v>2</v>
      </c>
    </row>
    <row r="2237" spans="1:10" customHeight="0">
      <c r="A2237" s="0">
        <f>HYPERLINK("https://dl.dropboxusercontent.com/scl/fi/hopncyojpxbe4ihsnq1ly/iagreyaf.png?rlkey=5jkdg93ewreel911sl38vjkdo&amp;dl=0","Click to download Image")</f>
      </c>
      <c r="B2237" s="0">
        <f>HYPERLINK("https://dl.dropboxusercontent.com/scl/fi/uxl0nxd0wnil745s1rhbq/mens-hoodie-size-charts-beckley.jpg?rlkey=4qgb7c0qapsw1gu9ru8r5r94n&amp;dl=0","Click to download SizeChart")</f>
      </c>
      <c r="C2237" s="0" t="inlineStr">
        <is>
          <t>Beckley Mens Hoodie</t>
        </is>
      </c>
      <c r="D2237" s="1">
        <v>111532</v>
      </c>
      <c r="E2237" s="0" t="inlineStr">
        <is>
          <t>IOWA BECKLEY LT GREY:111532B-M</t>
        </is>
      </c>
      <c r="F2237" s="2">
        <v>800111532052</v>
      </c>
      <c r="G2237" s="0" t="inlineStr">
        <is>
          <t>MENS</t>
        </is>
      </c>
      <c r="H2237" s="0" t="inlineStr">
        <is>
          <t>M</t>
        </is>
      </c>
      <c r="I2237" s="0">
        <v>52.99</v>
      </c>
      <c r="J2237" s="0">
        <v>3</v>
      </c>
    </row>
    <row r="2238" spans="1:10" customHeight="0">
      <c r="A2238" s="0">
        <f>HYPERLINK("https://dl.dropboxusercontent.com/scl/fi/hopncyojpxbe4ihsnq1ly/iagreyaf.png?rlkey=5jkdg93ewreel911sl38vjkdo&amp;dl=0","Click to download Image")</f>
      </c>
      <c r="B2238" s="0">
        <f>HYPERLINK("https://dl.dropboxusercontent.com/scl/fi/uxl0nxd0wnil745s1rhbq/mens-hoodie-size-charts-beckley.jpg?rlkey=4qgb7c0qapsw1gu9ru8r5r94n&amp;dl=0","Click to download SizeChart")</f>
      </c>
      <c r="C2238" s="0" t="inlineStr">
        <is>
          <t>Beckley Mens Hoodie</t>
        </is>
      </c>
      <c r="D2238" s="1">
        <v>111532</v>
      </c>
      <c r="E2238" s="0" t="inlineStr">
        <is>
          <t>IOWA BECKLEY LT GREY:111532C-L</t>
        </is>
      </c>
      <c r="F2238" s="2">
        <v>800111532069</v>
      </c>
      <c r="G2238" s="0" t="inlineStr">
        <is>
          <t>MENS</t>
        </is>
      </c>
      <c r="H2238" s="0" t="inlineStr">
        <is>
          <t>L</t>
        </is>
      </c>
      <c r="I2238" s="0">
        <v>52.99</v>
      </c>
      <c r="J2238" s="0">
        <v>3</v>
      </c>
    </row>
    <row r="2239" spans="1:10" customHeight="0">
      <c r="A2239" s="0">
        <f>HYPERLINK("https://dl.dropboxusercontent.com/scl/fi/hopncyojpxbe4ihsnq1ly/iagreyaf.png?rlkey=5jkdg93ewreel911sl38vjkdo&amp;dl=0","Click to download Image")</f>
      </c>
      <c r="B2239" s="0">
        <f>HYPERLINK("https://dl.dropboxusercontent.com/scl/fi/uxl0nxd0wnil745s1rhbq/mens-hoodie-size-charts-beckley.jpg?rlkey=4qgb7c0qapsw1gu9ru8r5r94n&amp;dl=0","Click to download SizeChart")</f>
      </c>
      <c r="C2239" s="0" t="inlineStr">
        <is>
          <t>Beckley Mens Hoodie</t>
        </is>
      </c>
      <c r="D2239" s="1">
        <v>111532</v>
      </c>
      <c r="E2239" s="0" t="inlineStr">
        <is>
          <t>IOWA BECKLEY LT GREY:111532D-XL</t>
        </is>
      </c>
      <c r="F2239" s="2">
        <v>800111532076</v>
      </c>
      <c r="G2239" s="0" t="inlineStr">
        <is>
          <t>MENS</t>
        </is>
      </c>
      <c r="H2239" s="0" t="inlineStr">
        <is>
          <t>XL</t>
        </is>
      </c>
      <c r="I2239" s="0">
        <v>52.99</v>
      </c>
      <c r="J2239" s="0">
        <v>3</v>
      </c>
    </row>
    <row r="2240" spans="1:10" customHeight="0">
      <c r="A2240" s="0">
        <f>HYPERLINK("https://dl.dropboxusercontent.com/scl/fi/hopncyojpxbe4ihsnq1ly/iagreyaf.png?rlkey=5jkdg93ewreel911sl38vjkdo&amp;dl=0","Click to download Image")</f>
      </c>
      <c r="B2240" s="0">
        <f>HYPERLINK("https://dl.dropboxusercontent.com/scl/fi/uxl0nxd0wnil745s1rhbq/mens-hoodie-size-charts-beckley.jpg?rlkey=4qgb7c0qapsw1gu9ru8r5r94n&amp;dl=0","Click to download SizeChart")</f>
      </c>
      <c r="C2240" s="0" t="inlineStr">
        <is>
          <t>Beckley Mens Hoodie</t>
        </is>
      </c>
      <c r="D2240" s="1">
        <v>111532</v>
      </c>
      <c r="E2240" s="0" t="inlineStr">
        <is>
          <t>IOWA BECKLEY LT GREY:111532E-2XL</t>
        </is>
      </c>
      <c r="F2240" s="2">
        <v>800111532083</v>
      </c>
      <c r="G2240" s="0" t="inlineStr">
        <is>
          <t>MENS</t>
        </is>
      </c>
      <c r="H2240" s="0" t="inlineStr">
        <is>
          <t>2XL</t>
        </is>
      </c>
      <c r="I2240" s="0">
        <v>54.99</v>
      </c>
      <c r="J2240" s="0">
        <v>2</v>
      </c>
    </row>
    <row r="2241" spans="1:10" customHeight="0">
      <c r="A2241" s="0">
        <f>HYPERLINK("https://dl.dropboxusercontent.com/scl/fi/hopncyojpxbe4ihsnq1ly/iagreyaf.png?rlkey=5jkdg93ewreel911sl38vjkdo&amp;dl=0","Click to download Image")</f>
      </c>
      <c r="B2241" s="0">
        <f>HYPERLINK("https://dl.dropboxusercontent.com/scl/fi/uxl0nxd0wnil745s1rhbq/mens-hoodie-size-charts-beckley.jpg?rlkey=4qgb7c0qapsw1gu9ru8r5r94n&amp;dl=0","Click to download SizeChart")</f>
      </c>
      <c r="C2241" s="0" t="inlineStr">
        <is>
          <t>Beckley Mens Hoodie</t>
        </is>
      </c>
      <c r="D2241" s="1">
        <v>111532</v>
      </c>
      <c r="E2241" s="0" t="inlineStr">
        <is>
          <t>IOWA BECKLEY LT GREY:111532F-3XL</t>
        </is>
      </c>
      <c r="F2241" s="2">
        <v>800111532090</v>
      </c>
      <c r="G2241" s="0" t="inlineStr">
        <is>
          <t>MENS</t>
        </is>
      </c>
      <c r="H2241" s="0" t="inlineStr">
        <is>
          <t>3XL</t>
        </is>
      </c>
      <c r="I2241" s="0">
        <v>54.99</v>
      </c>
      <c r="J2241" s="0">
        <v>0</v>
      </c>
    </row>
    <row r="2242" spans="1:10" customHeight="0">
      <c r="A2242" s="0">
        <f>HYPERLINK("https://dl.dropboxusercontent.com/scl/fi/hopncyojpxbe4ihsnq1ly/iagreyaf.png?rlkey=5jkdg93ewreel911sl38vjkdo&amp;dl=0","Click to download Image")</f>
      </c>
      <c r="B2242" s="0">
        <f>HYPERLINK("https://dl.dropboxusercontent.com/scl/fi/uxl0nxd0wnil745s1rhbq/mens-hoodie-size-charts-beckley.jpg?rlkey=4qgb7c0qapsw1gu9ru8r5r94n&amp;dl=0","Click to download SizeChart")</f>
      </c>
      <c r="C2242" s="0" t="inlineStr">
        <is>
          <t>Beckley Mens Hoodie</t>
        </is>
      </c>
      <c r="D2242" s="1">
        <v>111532</v>
      </c>
      <c r="E2242" s="0" t="inlineStr">
        <is>
          <t>IOWA BECKLEY LT GREY 12 PACK:111532Z-12PK</t>
        </is>
      </c>
      <c r="F2242" s="2">
        <v>800111532040</v>
      </c>
      <c r="G2242" s="0" t="inlineStr">
        <is>
          <t>MENS</t>
        </is>
      </c>
      <c r="H2242" s="0" t="inlineStr">
        <is>
          <t>12 PACK</t>
        </is>
      </c>
      <c r="I2242" s="0">
        <v>617.88</v>
      </c>
      <c r="J2242" s="0">
        <v>0</v>
      </c>
    </row>
    <row r="2243" spans="1:10" customHeight="0">
      <c r="A2243" s="0">
        <f>HYPERLINK("https://dl.dropboxusercontent.com/scl/fi/w409hupi4v2g4js4f3r2e/iowaaf.jpg?rlkey=c78o1866yliohhmmfm2w08akj&amp;dl=0","Click to download Image")</f>
      </c>
      <c r="B2243" s="0">
        <f>HYPERLINK("https://dl.dropboxusercontent.com/scl/fi/266zo55b0k8x0t1t6hvzq/womens-tank-top-size-chartsaddie.jpg?rlkey=ivnhelszngy31uut057gndxh2&amp;dl=0","Click to download SizeChart")</f>
      </c>
      <c r="C2243" s="0" t="inlineStr">
        <is>
          <t>Addie Womens Tank</t>
        </is>
      </c>
      <c r="D2243" s="1">
        <v>108136</v>
      </c>
      <c r="E2243" s="0" t="inlineStr">
        <is>
          <t>IOWA ADDIE WHITE:108136A-S</t>
        </is>
      </c>
      <c r="F2243" s="2">
        <v>800108136010</v>
      </c>
      <c r="G2243" s="0" t="inlineStr">
        <is>
          <t>WOMENS</t>
        </is>
      </c>
      <c r="H2243" s="0" t="inlineStr">
        <is>
          <t>S</t>
        </is>
      </c>
      <c r="I2243" s="0">
        <v>34.99</v>
      </c>
      <c r="J2243" s="0">
        <v>19</v>
      </c>
    </row>
    <row r="2244" spans="1:10" customHeight="0">
      <c r="A2244" s="0">
        <f>HYPERLINK("https://dl.dropboxusercontent.com/scl/fi/w409hupi4v2g4js4f3r2e/iowaaf.jpg?rlkey=c78o1866yliohhmmfm2w08akj&amp;dl=0","Click to download Image")</f>
      </c>
      <c r="B2244" s="0">
        <f>HYPERLINK("https://dl.dropboxusercontent.com/scl/fi/266zo55b0k8x0t1t6hvzq/womens-tank-top-size-chartsaddie.jpg?rlkey=ivnhelszngy31uut057gndxh2&amp;dl=0","Click to download SizeChart")</f>
      </c>
      <c r="C2244" s="0" t="inlineStr">
        <is>
          <t>Addie Womens Tank</t>
        </is>
      </c>
      <c r="D2244" s="1">
        <v>108136</v>
      </c>
      <c r="E2244" s="0" t="inlineStr">
        <is>
          <t>IOWA ADDIE WHITE:108136B-M</t>
        </is>
      </c>
      <c r="F2244" s="2">
        <v>800108136027</v>
      </c>
      <c r="G2244" s="0" t="inlineStr">
        <is>
          <t>WOMENS</t>
        </is>
      </c>
      <c r="H2244" s="0" t="inlineStr">
        <is>
          <t>M</t>
        </is>
      </c>
      <c r="I2244" s="0">
        <v>34.99</v>
      </c>
      <c r="J2244" s="0">
        <v>39</v>
      </c>
    </row>
    <row r="2245" spans="1:10" customHeight="0">
      <c r="A2245" s="0">
        <f>HYPERLINK("https://dl.dropboxusercontent.com/scl/fi/w409hupi4v2g4js4f3r2e/iowaaf.jpg?rlkey=c78o1866yliohhmmfm2w08akj&amp;dl=0","Click to download Image")</f>
      </c>
      <c r="B2245" s="0">
        <f>HYPERLINK("https://dl.dropboxusercontent.com/scl/fi/266zo55b0k8x0t1t6hvzq/womens-tank-top-size-chartsaddie.jpg?rlkey=ivnhelszngy31uut057gndxh2&amp;dl=0","Click to download SizeChart")</f>
      </c>
      <c r="C2245" s="0" t="inlineStr">
        <is>
          <t>Addie Womens Tank</t>
        </is>
      </c>
      <c r="D2245" s="1">
        <v>108136</v>
      </c>
      <c r="E2245" s="0" t="inlineStr">
        <is>
          <t>IOWA ADDIE WHITE:108136C-L</t>
        </is>
      </c>
      <c r="F2245" s="2">
        <v>800108136034</v>
      </c>
      <c r="G2245" s="0" t="inlineStr">
        <is>
          <t>WOMENS</t>
        </is>
      </c>
      <c r="H2245" s="0" t="inlineStr">
        <is>
          <t>L</t>
        </is>
      </c>
      <c r="I2245" s="0">
        <v>34.99</v>
      </c>
      <c r="J2245" s="0">
        <v>39</v>
      </c>
    </row>
    <row r="2246" spans="1:10" customHeight="0">
      <c r="A2246" s="0">
        <f>HYPERLINK("https://dl.dropboxusercontent.com/scl/fi/w409hupi4v2g4js4f3r2e/iowaaf.jpg?rlkey=c78o1866yliohhmmfm2w08akj&amp;dl=0","Click to download Image")</f>
      </c>
      <c r="B2246" s="0">
        <f>HYPERLINK("https://dl.dropboxusercontent.com/scl/fi/266zo55b0k8x0t1t6hvzq/womens-tank-top-size-chartsaddie.jpg?rlkey=ivnhelszngy31uut057gndxh2&amp;dl=0","Click to download SizeChart")</f>
      </c>
      <c r="C2246" s="0" t="inlineStr">
        <is>
          <t>Addie Womens Tank</t>
        </is>
      </c>
      <c r="D2246" s="1">
        <v>108136</v>
      </c>
      <c r="E2246" s="0" t="inlineStr">
        <is>
          <t>IOWA ADDIE WHITE:108136D-XL</t>
        </is>
      </c>
      <c r="F2246" s="2">
        <v>800108136041</v>
      </c>
      <c r="G2246" s="0" t="inlineStr">
        <is>
          <t>WOMENS</t>
        </is>
      </c>
      <c r="H2246" s="0" t="inlineStr">
        <is>
          <t>XL</t>
        </is>
      </c>
      <c r="I2246" s="0">
        <v>34.99</v>
      </c>
      <c r="J2246" s="0">
        <v>19</v>
      </c>
    </row>
    <row r="2247" spans="1:10" customHeight="0">
      <c r="A2247" s="0">
        <f>HYPERLINK("https://dl.dropboxusercontent.com/scl/fi/w409hupi4v2g4js4f3r2e/iowaaf.jpg?rlkey=c78o1866yliohhmmfm2w08akj&amp;dl=0","Click to download Image")</f>
      </c>
      <c r="B2247" s="0">
        <f>HYPERLINK("https://dl.dropboxusercontent.com/scl/fi/266zo55b0k8x0t1t6hvzq/womens-tank-top-size-chartsaddie.jpg?rlkey=ivnhelszngy31uut057gndxh2&amp;dl=0","Click to download SizeChart")</f>
      </c>
      <c r="C2247" s="0" t="inlineStr">
        <is>
          <t>Addie Womens Tank</t>
        </is>
      </c>
      <c r="D2247" s="1">
        <v>108136</v>
      </c>
      <c r="E2247" s="0" t="inlineStr">
        <is>
          <t>IOWA ADDIE WHITE:108136E-2XL</t>
        </is>
      </c>
      <c r="F2247" s="2">
        <v>800108136058</v>
      </c>
      <c r="G2247" s="0" t="inlineStr">
        <is>
          <t>WOMENS</t>
        </is>
      </c>
      <c r="H2247" s="0" t="inlineStr">
        <is>
          <t>2XL</t>
        </is>
      </c>
      <c r="I2247" s="0">
        <v>36.99</v>
      </c>
      <c r="J2247" s="0">
        <v>9</v>
      </c>
    </row>
    <row r="2248" spans="1:10" customHeight="0">
      <c r="A2248" s="0">
        <f>HYPERLINK("https://dl.dropboxusercontent.com/scl/fi/w409hupi4v2g4js4f3r2e/iowaaf.jpg?rlkey=c78o1866yliohhmmfm2w08akj&amp;dl=0","Click to download Image")</f>
      </c>
      <c r="B2248" s="0">
        <f>HYPERLINK("https://dl.dropboxusercontent.com/scl/fi/266zo55b0k8x0t1t6hvzq/womens-tank-top-size-chartsaddie.jpg?rlkey=ivnhelszngy31uut057gndxh2&amp;dl=0","Click to download SizeChart")</f>
      </c>
      <c r="C2248" s="0" t="inlineStr">
        <is>
          <t>Addie Womens Tank</t>
        </is>
      </c>
      <c r="D2248" s="1">
        <v>108136</v>
      </c>
      <c r="E2248" s="0" t="inlineStr">
        <is>
          <t>IOWA ADDIE WHITE:108136F-3XL</t>
        </is>
      </c>
      <c r="F2248" s="2">
        <v>800108136065</v>
      </c>
      <c r="G2248" s="0" t="inlineStr">
        <is>
          <t>WOMENS</t>
        </is>
      </c>
      <c r="H2248" s="0" t="inlineStr">
        <is>
          <t>3XL</t>
        </is>
      </c>
      <c r="I2248" s="0">
        <v>36.99</v>
      </c>
      <c r="J2248" s="0">
        <v>4</v>
      </c>
    </row>
    <row r="2249" spans="1:10" customHeight="0">
      <c r="A2249" s="0">
        <f>HYPERLINK("https://dl.dropboxusercontent.com/scl/fi/w409hupi4v2g4js4f3r2e/iowaaf.jpg?rlkey=c78o1866yliohhmmfm2w08akj&amp;dl=0","Click to download Image")</f>
      </c>
      <c r="B2249" s="0">
        <f>HYPERLINK("https://dl.dropboxusercontent.com/scl/fi/266zo55b0k8x0t1t6hvzq/womens-tank-top-size-chartsaddie.jpg?rlkey=ivnhelszngy31uut057gndxh2&amp;dl=0","Click to download SizeChart")</f>
      </c>
      <c r="C2249" s="0" t="inlineStr">
        <is>
          <t>Addie Womens Tank</t>
        </is>
      </c>
      <c r="D2249" s="1">
        <v>108136</v>
      </c>
      <c r="E2249" s="0" t="inlineStr">
        <is>
          <t>IOWA ADDIE WHITE 12 PACK:108136Z-12PK</t>
        </is>
      </c>
      <c r="F2249" s="2">
        <v>800108136102</v>
      </c>
      <c r="G2249" s="0" t="inlineStr">
        <is>
          <t>WOMENS</t>
        </is>
      </c>
      <c r="H2249" s="0" t="inlineStr">
        <is>
          <t>12 PACK</t>
        </is>
      </c>
      <c r="I2249" s="0">
        <v>395.88</v>
      </c>
      <c r="J2249" s="0">
        <v>0</v>
      </c>
    </row>
    <row r="2250" spans="1:10" customHeight="0">
      <c r="A2250" s="0">
        <f>HYPERLINK("https://dl.dropboxusercontent.com/scl/fi/ygk7ptwz6s4ujfnd83ng3/iowablackaf.jpg?rlkey=scz5n191myf6w4dcn0m0ktzg0&amp;dl=0","Click to download Image")</f>
      </c>
      <c r="B2250" s="0">
        <f>HYPERLINK("https://dl.dropboxusercontent.com/scl/fi/266zo55b0k8x0t1t6hvzq/womens-tank-top-size-chartsaddie.jpg?rlkey=ivnhelszngy31uut057gndxh2&amp;dl=0","Click to download SizeChart")</f>
      </c>
      <c r="C2250" s="0" t="inlineStr">
        <is>
          <t>Addie Womens Tank</t>
        </is>
      </c>
      <c r="D2250" s="1">
        <v>111430</v>
      </c>
      <c r="E2250" s="0" t="inlineStr">
        <is>
          <t>IOWA ADDIE BLACK:111430A-S</t>
        </is>
      </c>
      <c r="F2250" s="2">
        <v>800111430044</v>
      </c>
      <c r="G2250" s="0" t="inlineStr">
        <is>
          <t>WOMENS</t>
        </is>
      </c>
      <c r="H2250" s="0" t="inlineStr">
        <is>
          <t>S</t>
        </is>
      </c>
      <c r="I2250" s="0">
        <v>34.99</v>
      </c>
      <c r="J2250" s="0">
        <v>20</v>
      </c>
    </row>
    <row r="2251" spans="1:10" customHeight="0">
      <c r="A2251" s="0">
        <f>HYPERLINK("https://dl.dropboxusercontent.com/scl/fi/ygk7ptwz6s4ujfnd83ng3/iowablackaf.jpg?rlkey=scz5n191myf6w4dcn0m0ktzg0&amp;dl=0","Click to download Image")</f>
      </c>
      <c r="B2251" s="0">
        <f>HYPERLINK("https://dl.dropboxusercontent.com/scl/fi/266zo55b0k8x0t1t6hvzq/womens-tank-top-size-chartsaddie.jpg?rlkey=ivnhelszngy31uut057gndxh2&amp;dl=0","Click to download SizeChart")</f>
      </c>
      <c r="C2251" s="0" t="inlineStr">
        <is>
          <t>Addie Womens Tank</t>
        </is>
      </c>
      <c r="D2251" s="1">
        <v>111430</v>
      </c>
      <c r="E2251" s="0" t="inlineStr">
        <is>
          <t>IOWA ADDIE BLACK:111430B-M</t>
        </is>
      </c>
      <c r="F2251" s="2">
        <v>800111430051</v>
      </c>
      <c r="G2251" s="0" t="inlineStr">
        <is>
          <t>WOMENS</t>
        </is>
      </c>
      <c r="H2251" s="0" t="inlineStr">
        <is>
          <t>M</t>
        </is>
      </c>
      <c r="I2251" s="0">
        <v>34.99</v>
      </c>
      <c r="J2251" s="0">
        <v>40</v>
      </c>
    </row>
    <row r="2252" spans="1:10" customHeight="0">
      <c r="A2252" s="0">
        <f>HYPERLINK("https://dl.dropboxusercontent.com/scl/fi/ygk7ptwz6s4ujfnd83ng3/iowablackaf.jpg?rlkey=scz5n191myf6w4dcn0m0ktzg0&amp;dl=0","Click to download Image")</f>
      </c>
      <c r="B2252" s="0">
        <f>HYPERLINK("https://dl.dropboxusercontent.com/scl/fi/266zo55b0k8x0t1t6hvzq/womens-tank-top-size-chartsaddie.jpg?rlkey=ivnhelszngy31uut057gndxh2&amp;dl=0","Click to download SizeChart")</f>
      </c>
      <c r="C2252" s="0" t="inlineStr">
        <is>
          <t>Addie Womens Tank</t>
        </is>
      </c>
      <c r="D2252" s="1">
        <v>111430</v>
      </c>
      <c r="E2252" s="0" t="inlineStr">
        <is>
          <t>IOWA ADDIE BLACK:111430C-L</t>
        </is>
      </c>
      <c r="F2252" s="2">
        <v>800111430068</v>
      </c>
      <c r="G2252" s="0" t="inlineStr">
        <is>
          <t>WOMENS</t>
        </is>
      </c>
      <c r="H2252" s="0" t="inlineStr">
        <is>
          <t>L</t>
        </is>
      </c>
      <c r="I2252" s="0">
        <v>34.99</v>
      </c>
      <c r="J2252" s="0">
        <v>40</v>
      </c>
    </row>
    <row r="2253" spans="1:10" customHeight="0">
      <c r="A2253" s="0">
        <f>HYPERLINK("https://dl.dropboxusercontent.com/scl/fi/ygk7ptwz6s4ujfnd83ng3/iowablackaf.jpg?rlkey=scz5n191myf6w4dcn0m0ktzg0&amp;dl=0","Click to download Image")</f>
      </c>
      <c r="B2253" s="0">
        <f>HYPERLINK("https://dl.dropboxusercontent.com/scl/fi/266zo55b0k8x0t1t6hvzq/womens-tank-top-size-chartsaddie.jpg?rlkey=ivnhelszngy31uut057gndxh2&amp;dl=0","Click to download SizeChart")</f>
      </c>
      <c r="C2253" s="0" t="inlineStr">
        <is>
          <t>Addie Womens Tank</t>
        </is>
      </c>
      <c r="D2253" s="1">
        <v>111430</v>
      </c>
      <c r="E2253" s="0" t="inlineStr">
        <is>
          <t>IOWA ADDIE BLACK:111430D-XL</t>
        </is>
      </c>
      <c r="F2253" s="2">
        <v>800111430075</v>
      </c>
      <c r="G2253" s="0" t="inlineStr">
        <is>
          <t>WOMENS</t>
        </is>
      </c>
      <c r="H2253" s="0" t="inlineStr">
        <is>
          <t>XL</t>
        </is>
      </c>
      <c r="I2253" s="0">
        <v>34.99</v>
      </c>
      <c r="J2253" s="0">
        <v>20</v>
      </c>
    </row>
    <row r="2254" spans="1:10" customHeight="0">
      <c r="A2254" s="0">
        <f>HYPERLINK("https://dl.dropboxusercontent.com/scl/fi/ygk7ptwz6s4ujfnd83ng3/iowablackaf.jpg?rlkey=scz5n191myf6w4dcn0m0ktzg0&amp;dl=0","Click to download Image")</f>
      </c>
      <c r="B2254" s="0">
        <f>HYPERLINK("https://dl.dropboxusercontent.com/scl/fi/266zo55b0k8x0t1t6hvzq/womens-tank-top-size-chartsaddie.jpg?rlkey=ivnhelszngy31uut057gndxh2&amp;dl=0","Click to download SizeChart")</f>
      </c>
      <c r="C2254" s="0" t="inlineStr">
        <is>
          <t>Addie Womens Tank</t>
        </is>
      </c>
      <c r="D2254" s="1">
        <v>111430</v>
      </c>
      <c r="E2254" s="0" t="inlineStr">
        <is>
          <t>IOWA ADDIE BLACK:111430E-2XL</t>
        </is>
      </c>
      <c r="F2254" s="2">
        <v>800111430082</v>
      </c>
      <c r="G2254" s="0" t="inlineStr">
        <is>
          <t>WOMENS</t>
        </is>
      </c>
      <c r="H2254" s="0" t="inlineStr">
        <is>
          <t>2XL</t>
        </is>
      </c>
      <c r="I2254" s="0">
        <v>36.99</v>
      </c>
      <c r="J2254" s="0">
        <v>10</v>
      </c>
    </row>
    <row r="2255" spans="1:10" customHeight="0">
      <c r="A2255" s="0">
        <f>HYPERLINK("https://dl.dropboxusercontent.com/scl/fi/ygk7ptwz6s4ujfnd83ng3/iowablackaf.jpg?rlkey=scz5n191myf6w4dcn0m0ktzg0&amp;dl=0","Click to download Image")</f>
      </c>
      <c r="B2255" s="0">
        <f>HYPERLINK("https://dl.dropboxusercontent.com/scl/fi/266zo55b0k8x0t1t6hvzq/womens-tank-top-size-chartsaddie.jpg?rlkey=ivnhelszngy31uut057gndxh2&amp;dl=0","Click to download SizeChart")</f>
      </c>
      <c r="C2255" s="0" t="inlineStr">
        <is>
          <t>Addie Womens Tank</t>
        </is>
      </c>
      <c r="D2255" s="1">
        <v>111430</v>
      </c>
      <c r="E2255" s="0" t="inlineStr">
        <is>
          <t>IOWA ADDIE BLACK:111430F-3XL</t>
        </is>
      </c>
      <c r="F2255" s="2">
        <v>800111430099</v>
      </c>
      <c r="G2255" s="0" t="inlineStr">
        <is>
          <t>WOMENS</t>
        </is>
      </c>
      <c r="H2255" s="0" t="inlineStr">
        <is>
          <t>3XL</t>
        </is>
      </c>
      <c r="I2255" s="0">
        <v>36.99</v>
      </c>
      <c r="J2255" s="0">
        <v>5</v>
      </c>
    </row>
    <row r="2256" spans="1:10" customHeight="0">
      <c r="A2256" s="0">
        <f>HYPERLINK("https://dl.dropboxusercontent.com/scl/fi/ygk7ptwz6s4ujfnd83ng3/iowablackaf.jpg?rlkey=scz5n191myf6w4dcn0m0ktzg0&amp;dl=0","Click to download Image")</f>
      </c>
      <c r="B2256" s="0">
        <f>HYPERLINK("https://dl.dropboxusercontent.com/scl/fi/266zo55b0k8x0t1t6hvzq/womens-tank-top-size-chartsaddie.jpg?rlkey=ivnhelszngy31uut057gndxh2&amp;dl=0","Click to download SizeChart")</f>
      </c>
      <c r="C2256" s="0" t="inlineStr">
        <is>
          <t>Addie Womens Tank</t>
        </is>
      </c>
      <c r="D2256" s="1">
        <v>111430</v>
      </c>
      <c r="E2256" s="0" t="inlineStr">
        <is>
          <t>IOWA ADDIE BLACK 12 PACK:111430Z-12PK</t>
        </is>
      </c>
      <c r="F2256" s="2">
        <v>800111430990</v>
      </c>
      <c r="G2256" s="0" t="inlineStr">
        <is>
          <t>WOMENS</t>
        </is>
      </c>
      <c r="H2256" s="0" t="inlineStr">
        <is>
          <t>12 PACK</t>
        </is>
      </c>
      <c r="I2256" s="0">
        <v>395.88</v>
      </c>
      <c r="J2256" s="0">
        <v>0</v>
      </c>
    </row>
    <row r="2257" spans="1:10" customHeight="0">
      <c r="A2257" s="0">
        <f>HYPERLINK("https://dl.dropboxusercontent.com/scl/fi/jevkva41sbnls5txlj45k/lancaster-grey.jpg?rlkey=jafcuj5hhbh32pk86hior164v&amp;dl=0","Click to download Image")</f>
      </c>
      <c r="B2257" s="0">
        <f>HYPERLINK("https://dl.dropboxusercontent.com/scl/fi/4k6avgozrfe8jv5bjkyc3/graphic-update22022-toddler.jpg?rlkey=sww7f7zly2b3n2uvk9ffrdncg&amp;dl=0","Click to download SizeChart")</f>
      </c>
      <c r="C2257" s="0" t="inlineStr">
        <is>
          <t>Lancaster Toddler Boys Set</t>
        </is>
      </c>
      <c r="D2257" s="1">
        <v>109822</v>
      </c>
      <c r="E2257" s="0" t="inlineStr">
        <is>
          <t>IOWA LANCASTER GREY SET:109822A-2T</t>
        </is>
      </c>
      <c r="F2257" s="2">
        <v>800109822011</v>
      </c>
      <c r="G2257" s="0" t="inlineStr">
        <is>
          <t>TODDLER</t>
        </is>
      </c>
      <c r="H2257" s="0" t="inlineStr">
        <is>
          <t>2T</t>
        </is>
      </c>
      <c r="I2257" s="0">
        <v>34.99</v>
      </c>
      <c r="J2257" s="0">
        <v>11</v>
      </c>
    </row>
    <row r="2258" spans="1:10" customHeight="0">
      <c r="A2258" s="0">
        <f>HYPERLINK("https://dl.dropboxusercontent.com/scl/fi/jevkva41sbnls5txlj45k/lancaster-grey.jpg?rlkey=jafcuj5hhbh32pk86hior164v&amp;dl=0","Click to download Image")</f>
      </c>
      <c r="B2258" s="0">
        <f>HYPERLINK("https://dl.dropboxusercontent.com/scl/fi/4k6avgozrfe8jv5bjkyc3/graphic-update22022-toddler.jpg?rlkey=sww7f7zly2b3n2uvk9ffrdncg&amp;dl=0","Click to download SizeChart")</f>
      </c>
      <c r="C2258" s="0" t="inlineStr">
        <is>
          <t>Lancaster Toddler Boys Set</t>
        </is>
      </c>
      <c r="D2258" s="1">
        <v>109822</v>
      </c>
      <c r="E2258" s="0" t="inlineStr">
        <is>
          <t>IOWA LANCASTER GREY SET:109822B-3T</t>
        </is>
      </c>
      <c r="F2258" s="2">
        <v>800109822028</v>
      </c>
      <c r="G2258" s="0" t="inlineStr">
        <is>
          <t>TODDLER</t>
        </is>
      </c>
      <c r="H2258" s="0" t="inlineStr">
        <is>
          <t>3T</t>
        </is>
      </c>
      <c r="I2258" s="0">
        <v>34.99</v>
      </c>
      <c r="J2258" s="0">
        <v>12</v>
      </c>
    </row>
    <row r="2259" spans="1:10" customHeight="0">
      <c r="A2259" s="0">
        <f>HYPERLINK("https://dl.dropboxusercontent.com/scl/fi/jevkva41sbnls5txlj45k/lancaster-grey.jpg?rlkey=jafcuj5hhbh32pk86hior164v&amp;dl=0","Click to download Image")</f>
      </c>
      <c r="B2259" s="0">
        <f>HYPERLINK("https://dl.dropboxusercontent.com/scl/fi/4k6avgozrfe8jv5bjkyc3/graphic-update22022-toddler.jpg?rlkey=sww7f7zly2b3n2uvk9ffrdncg&amp;dl=0","Click to download SizeChart")</f>
      </c>
      <c r="C2259" s="0" t="inlineStr">
        <is>
          <t>Lancaster Toddler Boys Set</t>
        </is>
      </c>
      <c r="D2259" s="1">
        <v>109822</v>
      </c>
      <c r="E2259" s="0" t="inlineStr">
        <is>
          <t>IOWA LANCASTER GREY SET:109822C-4T</t>
        </is>
      </c>
      <c r="F2259" s="2">
        <v>800109822035</v>
      </c>
      <c r="G2259" s="0" t="inlineStr">
        <is>
          <t>TODDLER</t>
        </is>
      </c>
      <c r="H2259" s="0" t="inlineStr">
        <is>
          <t>4T</t>
        </is>
      </c>
      <c r="I2259" s="0">
        <v>34.99</v>
      </c>
      <c r="J2259" s="0">
        <v>12</v>
      </c>
    </row>
    <row r="2260" spans="1:10" customHeight="0">
      <c r="A2260" s="0">
        <f>HYPERLINK("https://dl.dropboxusercontent.com/scl/fi/jevkva41sbnls5txlj45k/lancaster-grey.jpg?rlkey=jafcuj5hhbh32pk86hior164v&amp;dl=0","Click to download Image")</f>
      </c>
      <c r="B2260" s="0">
        <f>HYPERLINK("https://dl.dropboxusercontent.com/scl/fi/4k6avgozrfe8jv5bjkyc3/graphic-update22022-toddler.jpg?rlkey=sww7f7zly2b3n2uvk9ffrdncg&amp;dl=0","Click to download SizeChart")</f>
      </c>
      <c r="C2260" s="0" t="inlineStr">
        <is>
          <t>Lancaster Toddler Boys Set</t>
        </is>
      </c>
      <c r="D2260" s="1">
        <v>109822</v>
      </c>
      <c r="E2260" s="0" t="inlineStr">
        <is>
          <t>IOWA LANCASTER GREY SET:109822D-5T</t>
        </is>
      </c>
      <c r="F2260" s="2">
        <v>800109822042</v>
      </c>
      <c r="G2260" s="0" t="inlineStr">
        <is>
          <t>TODDLER</t>
        </is>
      </c>
      <c r="H2260" s="0" t="inlineStr">
        <is>
          <t>5T</t>
        </is>
      </c>
      <c r="I2260" s="0">
        <v>34.99</v>
      </c>
      <c r="J2260" s="0">
        <v>11</v>
      </c>
    </row>
    <row r="2261" spans="1:10" customHeight="0">
      <c r="A2261" s="0">
        <f>HYPERLINK("https://dl.dropboxusercontent.com/scl/fi/jevkva41sbnls5txlj45k/lancaster-grey.jpg?rlkey=jafcuj5hhbh32pk86hior164v&amp;dl=0","Click to download Image")</f>
      </c>
      <c r="B2261" s="0">
        <f>HYPERLINK("https://dl.dropboxusercontent.com/scl/fi/4k6avgozrfe8jv5bjkyc3/graphic-update22022-toddler.jpg?rlkey=sww7f7zly2b3n2uvk9ffrdncg&amp;dl=0","Click to download SizeChart")</f>
      </c>
      <c r="C2261" s="0" t="inlineStr">
        <is>
          <t>Lancaster Toddler Boys Set</t>
        </is>
      </c>
      <c r="D2261" s="1">
        <v>109822</v>
      </c>
      <c r="E2261" s="0" t="inlineStr">
        <is>
          <t>IOWA LANCASTER GREY SET 12 PACK:109822Z-12PK</t>
        </is>
      </c>
      <c r="F2261" s="2">
        <v>800109822103</v>
      </c>
      <c r="G2261" s="0" t="inlineStr">
        <is>
          <t>TODDLER</t>
        </is>
      </c>
      <c r="H2261" s="0" t="inlineStr">
        <is>
          <t>12 PACK</t>
        </is>
      </c>
      <c r="I2261" s="0">
        <v>395.88</v>
      </c>
      <c r="J2261" s="0">
        <v>0</v>
      </c>
    </row>
    <row r="2262" spans="1:10" customHeight="0">
      <c r="A2262" s="0">
        <f>HYPERLINK("https://dl.dropboxusercontent.com/scl/fi/3pwc2deo7oaqn22w1019z/107143-af.jpg?rlkey=gd705p59ktaef7n3xdwjtvy81&amp;dl=0","Click to download Image")</f>
      </c>
      <c r="B2262" s="0">
        <f>HYPERLINK("https://dl.dropboxusercontent.com/scl/fi/bva3o1cia0repwkqsabwx/graphic-update2022-womens.jpg?rlkey=j44f3k6vgfttrm4xuu1o9blyq&amp;dl=0","Click to download SizeChart")</f>
      </c>
      <c r="C2262" s="0" t="inlineStr">
        <is>
          <t>Livy Women's Off Shoulder Top</t>
        </is>
      </c>
      <c r="D2262" s="1">
        <v>107143</v>
      </c>
      <c r="E2262" s="0" t="inlineStr">
        <is>
          <t>IA LIVY:107143A-S</t>
        </is>
      </c>
      <c r="F2262" s="2">
        <v>800107143019</v>
      </c>
      <c r="G2262" s="0" t="inlineStr">
        <is>
          <t>WOMENS</t>
        </is>
      </c>
      <c r="H2262" s="0" t="inlineStr">
        <is>
          <t>S</t>
        </is>
      </c>
      <c r="I2262" s="0">
        <v>42.99</v>
      </c>
      <c r="J2262" s="0">
        <v>58</v>
      </c>
    </row>
    <row r="2263" spans="1:10" customHeight="0">
      <c r="A2263" s="0">
        <f>HYPERLINK("https://dl.dropboxusercontent.com/scl/fi/3pwc2deo7oaqn22w1019z/107143-af.jpg?rlkey=gd705p59ktaef7n3xdwjtvy81&amp;dl=0","Click to download Image")</f>
      </c>
      <c r="B2263" s="0">
        <f>HYPERLINK("https://dl.dropboxusercontent.com/scl/fi/bva3o1cia0repwkqsabwx/graphic-update2022-womens.jpg?rlkey=j44f3k6vgfttrm4xuu1o9blyq&amp;dl=0","Click to download SizeChart")</f>
      </c>
      <c r="C2263" s="0" t="inlineStr">
        <is>
          <t>Livy Women's Off Shoulder Top</t>
        </is>
      </c>
      <c r="D2263" s="1">
        <v>107143</v>
      </c>
      <c r="E2263" s="0" t="inlineStr">
        <is>
          <t>IA LIVY:107143B-M</t>
        </is>
      </c>
      <c r="F2263" s="2">
        <v>800107143026</v>
      </c>
      <c r="G2263" s="0" t="inlineStr">
        <is>
          <t>WOMENS</t>
        </is>
      </c>
      <c r="H2263" s="0" t="inlineStr">
        <is>
          <t>M</t>
        </is>
      </c>
      <c r="I2263" s="0">
        <v>42.99</v>
      </c>
      <c r="J2263" s="0">
        <v>76</v>
      </c>
    </row>
    <row r="2264" spans="1:10" customHeight="0">
      <c r="A2264" s="0">
        <f>HYPERLINK("https://dl.dropboxusercontent.com/scl/fi/3pwc2deo7oaqn22w1019z/107143-af.jpg?rlkey=gd705p59ktaef7n3xdwjtvy81&amp;dl=0","Click to download Image")</f>
      </c>
      <c r="B2264" s="0">
        <f>HYPERLINK("https://dl.dropboxusercontent.com/scl/fi/bva3o1cia0repwkqsabwx/graphic-update2022-womens.jpg?rlkey=j44f3k6vgfttrm4xuu1o9blyq&amp;dl=0","Click to download SizeChart")</f>
      </c>
      <c r="C2264" s="0" t="inlineStr">
        <is>
          <t>Livy Women's Off Shoulder Top</t>
        </is>
      </c>
      <c r="D2264" s="1">
        <v>107143</v>
      </c>
      <c r="E2264" s="0" t="inlineStr">
        <is>
          <t>IA LIVY:107143C-L</t>
        </is>
      </c>
      <c r="F2264" s="2">
        <v>800107143033</v>
      </c>
      <c r="G2264" s="0" t="inlineStr">
        <is>
          <t>WOMENS</t>
        </is>
      </c>
      <c r="H2264" s="0" t="inlineStr">
        <is>
          <t>L</t>
        </is>
      </c>
      <c r="I2264" s="0">
        <v>42.99</v>
      </c>
      <c r="J2264" s="0">
        <v>74</v>
      </c>
    </row>
    <row r="2265" spans="1:10" customHeight="0">
      <c r="A2265" s="0">
        <f>HYPERLINK("https://dl.dropboxusercontent.com/scl/fi/3pwc2deo7oaqn22w1019z/107143-af.jpg?rlkey=gd705p59ktaef7n3xdwjtvy81&amp;dl=0","Click to download Image")</f>
      </c>
      <c r="B2265" s="0">
        <f>HYPERLINK("https://dl.dropboxusercontent.com/scl/fi/bva3o1cia0repwkqsabwx/graphic-update2022-womens.jpg?rlkey=j44f3k6vgfttrm4xuu1o9blyq&amp;dl=0","Click to download SizeChart")</f>
      </c>
      <c r="C2265" s="0" t="inlineStr">
        <is>
          <t>Livy Women's Off Shoulder Top</t>
        </is>
      </c>
      <c r="D2265" s="1">
        <v>107143</v>
      </c>
      <c r="E2265" s="0" t="inlineStr">
        <is>
          <t>IA LIVY:107143D-XL</t>
        </is>
      </c>
      <c r="F2265" s="2">
        <v>800107143040</v>
      </c>
      <c r="G2265" s="0" t="inlineStr">
        <is>
          <t>WOMENS</t>
        </is>
      </c>
      <c r="H2265" s="0" t="inlineStr">
        <is>
          <t>XL</t>
        </is>
      </c>
      <c r="I2265" s="0">
        <v>42.99</v>
      </c>
      <c r="J2265" s="0">
        <v>37</v>
      </c>
    </row>
    <row r="2266" spans="1:10" customHeight="0">
      <c r="A2266" s="0">
        <f>HYPERLINK("https://dl.dropboxusercontent.com/scl/fi/3pwc2deo7oaqn22w1019z/107143-af.jpg?rlkey=gd705p59ktaef7n3xdwjtvy81&amp;dl=0","Click to download Image")</f>
      </c>
      <c r="B2266" s="0">
        <f>HYPERLINK("https://dl.dropboxusercontent.com/scl/fi/bva3o1cia0repwkqsabwx/graphic-update2022-womens.jpg?rlkey=j44f3k6vgfttrm4xuu1o9blyq&amp;dl=0","Click to download SizeChart")</f>
      </c>
      <c r="C2266" s="0" t="inlineStr">
        <is>
          <t>Livy Women's Off Shoulder Top</t>
        </is>
      </c>
      <c r="D2266" s="1">
        <v>107143</v>
      </c>
      <c r="E2266" s="0" t="inlineStr">
        <is>
          <t>IA LIVY:107143E-2XL</t>
        </is>
      </c>
      <c r="F2266" s="2">
        <v>800107143057</v>
      </c>
      <c r="G2266" s="0" t="inlineStr">
        <is>
          <t>WOMENS</t>
        </is>
      </c>
      <c r="H2266" s="0" t="inlineStr">
        <is>
          <t>2XL</t>
        </is>
      </c>
      <c r="I2266" s="0">
        <v>42.99</v>
      </c>
      <c r="J2266" s="0">
        <v>11</v>
      </c>
    </row>
    <row r="2267" spans="1:10" customHeight="0">
      <c r="A2267" s="0">
        <f>HYPERLINK("https://dl.dropboxusercontent.com/scl/fi/3pwc2deo7oaqn22w1019z/107143-af.jpg?rlkey=gd705p59ktaef7n3xdwjtvy81&amp;dl=0","Click to download Image")</f>
      </c>
      <c r="B2267" s="0">
        <f>HYPERLINK("https://dl.dropboxusercontent.com/scl/fi/bva3o1cia0repwkqsabwx/graphic-update2022-womens.jpg?rlkey=j44f3k6vgfttrm4xuu1o9blyq&amp;dl=0","Click to download SizeChart")</f>
      </c>
      <c r="C2267" s="0" t="inlineStr">
        <is>
          <t>Livy Women's Off Shoulder Top</t>
        </is>
      </c>
      <c r="D2267" s="1">
        <v>107143</v>
      </c>
      <c r="E2267" s="0" t="inlineStr">
        <is>
          <t>IA LIVY:107143F-3XL</t>
        </is>
      </c>
      <c r="F2267" s="2">
        <v>800107143064</v>
      </c>
      <c r="G2267" s="0" t="inlineStr">
        <is>
          <t>WOMENS</t>
        </is>
      </c>
      <c r="H2267" s="0" t="inlineStr">
        <is>
          <t>3XL</t>
        </is>
      </c>
      <c r="I2267" s="0">
        <v>42.99</v>
      </c>
      <c r="J2267" s="0">
        <v>11</v>
      </c>
    </row>
    <row r="2268" spans="1:10" customHeight="0">
      <c r="A2268" s="0">
        <f>HYPERLINK("https://dl.dropboxusercontent.com/scl/fi/tspcgoyjulgqwq99xy10h/lenox.jpg?rlkey=rvabfits9bxu90a27gch7uv0i&amp;dl=0","Click to download Image")</f>
      </c>
      <c r="B2268" s="0">
        <f>HYPERLINK("https://dl.dropboxusercontent.com/scl/fi/bmnempqpnxx88yijls9m7/graphic-update22022-toddler.jpg?rlkey=xqdynzkjbkge4t2kar0f51i44&amp;dl=0","Click to download SizeChart")</f>
      </c>
      <c r="C2268" s="0" t="inlineStr">
        <is>
          <t>Lenox Toddler Overalls</t>
        </is>
      </c>
      <c r="D2268" s="1">
        <v>106997</v>
      </c>
      <c r="E2268" s="0" t="inlineStr">
        <is>
          <t>IOWA LENOX TDLR:106997C-4T</t>
        </is>
      </c>
      <c r="F2268" s="2">
        <v>800106997033</v>
      </c>
      <c r="G2268" s="0" t="inlineStr">
        <is>
          <t>TODDLER</t>
        </is>
      </c>
      <c r="H2268" s="0" t="inlineStr">
        <is>
          <t>4T</t>
        </is>
      </c>
      <c r="I2268" s="0">
        <v>29.99</v>
      </c>
      <c r="J2268" s="0">
        <v>7</v>
      </c>
    </row>
    <row r="2269" spans="1:10" customHeight="0">
      <c r="A2269" s="0">
        <f>HYPERLINK("https://dl.dropboxusercontent.com/scl/fi/tspcgoyjulgqwq99xy10h/lenox.jpg?rlkey=rvabfits9bxu90a27gch7uv0i&amp;dl=0","Click to download Image")</f>
      </c>
      <c r="B2269" s="0">
        <f>HYPERLINK("https://dl.dropboxusercontent.com/scl/fi/bmnempqpnxx88yijls9m7/graphic-update22022-toddler.jpg?rlkey=xqdynzkjbkge4t2kar0f51i44&amp;dl=0","Click to download SizeChart")</f>
      </c>
      <c r="C2269" s="0" t="inlineStr">
        <is>
          <t>Lenox Toddler Overalls</t>
        </is>
      </c>
      <c r="D2269" s="1">
        <v>106997</v>
      </c>
      <c r="E2269" s="0" t="inlineStr">
        <is>
          <t>IOWA LENOX TDLR:106997D-5T</t>
        </is>
      </c>
      <c r="F2269" s="2">
        <v>800106997040</v>
      </c>
      <c r="G2269" s="0" t="inlineStr">
        <is>
          <t>TODDLER</t>
        </is>
      </c>
      <c r="H2269" s="0" t="inlineStr">
        <is>
          <t>5T</t>
        </is>
      </c>
      <c r="I2269" s="0">
        <v>29.99</v>
      </c>
      <c r="J2269" s="0">
        <v>23</v>
      </c>
    </row>
    <row r="2270" spans="1:10" customHeight="0">
      <c r="A2270" s="0">
        <f>HYPERLINK("https://dl.dropboxusercontent.com/scl/fi/ios6fz689rmc9imbo1x5u/ia-af.jpg?rlkey=v6mf1yy3agd9le1v58pu3tmxi&amp;dl=0","Click to download Image")</f>
      </c>
      <c r="B2270" s="0">
        <f>HYPERLINK("https://dl.dropboxusercontent.com/scl/fi/chyowe2tvkwgvca37dasu/trisha-tn.jpg?rlkey=ea40qr6p2sw4oir47aoe9t9fb&amp;dl=0","Click to download SizeChart")</f>
      </c>
      <c r="C2270" s="0" t="inlineStr">
        <is>
          <t>Trisha Womens Golf Polo</t>
        </is>
      </c>
      <c r="D2270" s="1">
        <v>113906</v>
      </c>
      <c r="E2270" s="0" t="inlineStr">
        <is>
          <t>IOWA TRISHA W BLACK:113906A-S</t>
        </is>
      </c>
      <c r="F2270" s="2">
        <v>800113906042</v>
      </c>
      <c r="G2270" s="0" t="inlineStr">
        <is>
          <t>WOMENS</t>
        </is>
      </c>
      <c r="H2270" s="0" t="inlineStr">
        <is>
          <t>S</t>
        </is>
      </c>
      <c r="I2270" s="0">
        <v>40.98</v>
      </c>
      <c r="J2270" s="0">
        <v>3</v>
      </c>
    </row>
    <row r="2271" spans="1:10" customHeight="0">
      <c r="A2271" s="0">
        <f>HYPERLINK("https://dl.dropboxusercontent.com/scl/fi/ios6fz689rmc9imbo1x5u/ia-af.jpg?rlkey=v6mf1yy3agd9le1v58pu3tmxi&amp;dl=0","Click to download Image")</f>
      </c>
      <c r="B2271" s="0">
        <f>HYPERLINK("https://dl.dropboxusercontent.com/scl/fi/chyowe2tvkwgvca37dasu/trisha-tn.jpg?rlkey=ea40qr6p2sw4oir47aoe9t9fb&amp;dl=0","Click to download SizeChart")</f>
      </c>
      <c r="C2271" s="0" t="inlineStr">
        <is>
          <t>Trisha Womens Golf Polo</t>
        </is>
      </c>
      <c r="D2271" s="1">
        <v>113906</v>
      </c>
      <c r="E2271" s="0" t="inlineStr">
        <is>
          <t>IOWA TRISHA W BLACK:113906B-M</t>
        </is>
      </c>
      <c r="F2271" s="2">
        <v>800113906059</v>
      </c>
      <c r="G2271" s="0" t="inlineStr">
        <is>
          <t>WOMENS</t>
        </is>
      </c>
      <c r="H2271" s="0" t="inlineStr">
        <is>
          <t>M</t>
        </is>
      </c>
      <c r="I2271" s="0">
        <v>40.98</v>
      </c>
      <c r="J2271" s="0">
        <v>13</v>
      </c>
    </row>
    <row r="2272" spans="1:10" customHeight="0">
      <c r="A2272" s="0">
        <f>HYPERLINK("https://dl.dropboxusercontent.com/scl/fi/ios6fz689rmc9imbo1x5u/ia-af.jpg?rlkey=v6mf1yy3agd9le1v58pu3tmxi&amp;dl=0","Click to download Image")</f>
      </c>
      <c r="B2272" s="0">
        <f>HYPERLINK("https://dl.dropboxusercontent.com/scl/fi/chyowe2tvkwgvca37dasu/trisha-tn.jpg?rlkey=ea40qr6p2sw4oir47aoe9t9fb&amp;dl=0","Click to download SizeChart")</f>
      </c>
      <c r="C2272" s="0" t="inlineStr">
        <is>
          <t>Trisha Womens Golf Polo</t>
        </is>
      </c>
      <c r="D2272" s="1">
        <v>113906</v>
      </c>
      <c r="E2272" s="0" t="inlineStr">
        <is>
          <t>IOWA TRISHA W BLACK:113906C-L</t>
        </is>
      </c>
      <c r="F2272" s="2">
        <v>800113906066</v>
      </c>
      <c r="G2272" s="0" t="inlineStr">
        <is>
          <t>WOMENS</t>
        </is>
      </c>
      <c r="H2272" s="0" t="inlineStr">
        <is>
          <t>L</t>
        </is>
      </c>
      <c r="I2272" s="0">
        <v>40.98</v>
      </c>
      <c r="J2272" s="0">
        <v>11</v>
      </c>
    </row>
    <row r="2273" spans="1:10" customHeight="0">
      <c r="A2273" s="0">
        <f>HYPERLINK("https://dl.dropboxusercontent.com/scl/fi/ios6fz689rmc9imbo1x5u/ia-af.jpg?rlkey=v6mf1yy3agd9le1v58pu3tmxi&amp;dl=0","Click to download Image")</f>
      </c>
      <c r="B2273" s="0">
        <f>HYPERLINK("https://dl.dropboxusercontent.com/scl/fi/chyowe2tvkwgvca37dasu/trisha-tn.jpg?rlkey=ea40qr6p2sw4oir47aoe9t9fb&amp;dl=0","Click to download SizeChart")</f>
      </c>
      <c r="C2273" s="0" t="inlineStr">
        <is>
          <t>Trisha Womens Golf Polo</t>
        </is>
      </c>
      <c r="D2273" s="1">
        <v>113906</v>
      </c>
      <c r="E2273" s="0" t="inlineStr">
        <is>
          <t>IOWA TRISHA W BLACK:113906D-XL</t>
        </is>
      </c>
      <c r="F2273" s="2">
        <v>800113906073</v>
      </c>
      <c r="G2273" s="0" t="inlineStr">
        <is>
          <t>WOMENS</t>
        </is>
      </c>
      <c r="H2273" s="0" t="inlineStr">
        <is>
          <t>XL</t>
        </is>
      </c>
      <c r="I2273" s="0">
        <v>40.98</v>
      </c>
      <c r="J2273" s="0">
        <v>1</v>
      </c>
    </row>
    <row r="2274" spans="1:10" customHeight="0">
      <c r="A2274" s="0">
        <f>HYPERLINK("https://dl.dropboxusercontent.com/scl/fi/ios6fz689rmc9imbo1x5u/ia-af.jpg?rlkey=v6mf1yy3agd9le1v58pu3tmxi&amp;dl=0","Click to download Image")</f>
      </c>
      <c r="B2274" s="0">
        <f>HYPERLINK("https://dl.dropboxusercontent.com/scl/fi/chyowe2tvkwgvca37dasu/trisha-tn.jpg?rlkey=ea40qr6p2sw4oir47aoe9t9fb&amp;dl=0","Click to download SizeChart")</f>
      </c>
      <c r="C2274" s="0" t="inlineStr">
        <is>
          <t>Trisha Womens Golf Polo</t>
        </is>
      </c>
      <c r="D2274" s="1">
        <v>113906</v>
      </c>
      <c r="E2274" s="0" t="inlineStr">
        <is>
          <t>IOWA TRISHA W BLACK:113906E-2XL</t>
        </is>
      </c>
      <c r="F2274" s="2">
        <v>800113906080</v>
      </c>
      <c r="G2274" s="0" t="inlineStr">
        <is>
          <t>WOMENS</t>
        </is>
      </c>
      <c r="H2274" s="0" t="inlineStr">
        <is>
          <t>2XL</t>
        </is>
      </c>
      <c r="I2274" s="0">
        <v>42.98</v>
      </c>
      <c r="J2274" s="0">
        <v>0</v>
      </c>
    </row>
    <row r="2275" spans="1:10" customHeight="0">
      <c r="A2275" s="0">
        <f>HYPERLINK("https://dl.dropboxusercontent.com/scl/fi/ios6fz689rmc9imbo1x5u/ia-af.jpg?rlkey=v6mf1yy3agd9le1v58pu3tmxi&amp;dl=0","Click to download Image")</f>
      </c>
      <c r="B2275" s="0">
        <f>HYPERLINK("https://dl.dropboxusercontent.com/scl/fi/chyowe2tvkwgvca37dasu/trisha-tn.jpg?rlkey=ea40qr6p2sw4oir47aoe9t9fb&amp;dl=0","Click to download SizeChart")</f>
      </c>
      <c r="C2275" s="0" t="inlineStr">
        <is>
          <t>Trisha Womens Golf Polo</t>
        </is>
      </c>
      <c r="D2275" s="1">
        <v>113906</v>
      </c>
      <c r="E2275" s="0" t="inlineStr">
        <is>
          <t>IOWA TRISHA W BLACK:113906F-3XL</t>
        </is>
      </c>
      <c r="F2275" s="2">
        <v>800113906097</v>
      </c>
      <c r="G2275" s="0" t="inlineStr">
        <is>
          <t>WOMENS</t>
        </is>
      </c>
      <c r="H2275" s="0" t="inlineStr">
        <is>
          <t>3XL</t>
        </is>
      </c>
      <c r="I2275" s="0">
        <v>42.98</v>
      </c>
      <c r="J2275" s="0">
        <v>0</v>
      </c>
    </row>
    <row r="2276" spans="1:10" customHeight="0">
      <c r="A2276" s="0">
        <f>HYPERLINK("https://dl.dropboxusercontent.com/scl/fi/ios6fz689rmc9imbo1x5u/ia-af.jpg?rlkey=v6mf1yy3agd9le1v58pu3tmxi&amp;dl=0","Click to download Image")</f>
      </c>
      <c r="B2276" s="0">
        <f>HYPERLINK("https://dl.dropboxusercontent.com/scl/fi/chyowe2tvkwgvca37dasu/trisha-tn.jpg?rlkey=ea40qr6p2sw4oir47aoe9t9fb&amp;dl=0","Click to download SizeChart")</f>
      </c>
      <c r="C2276" s="0" t="inlineStr">
        <is>
          <t>Trisha Womens Golf Polo</t>
        </is>
      </c>
      <c r="D2276" s="1">
        <v>113906</v>
      </c>
      <c r="E2276" s="0" t="inlineStr">
        <is>
          <t>IOWA TRISHA W BLACK 12 PACK:113906Z-12PK</t>
        </is>
      </c>
      <c r="F2276" s="2">
        <v>800113906998</v>
      </c>
      <c r="G2276" s="0" t="inlineStr">
        <is>
          <t>WOMENS</t>
        </is>
      </c>
      <c r="H2276" s="0" t="inlineStr">
        <is>
          <t>12 PACK</t>
        </is>
      </c>
      <c r="I2276" s="0">
        <v>473.76</v>
      </c>
      <c r="J2276" s="0">
        <v>0</v>
      </c>
    </row>
    <row r="2277" spans="1:10" customHeight="0">
      <c r="A2277" s="0">
        <f>HYPERLINK("https://dl.dropboxusercontent.com/scl/fi/lemrulfurnfaj4u01jtvn/106982f.jpg?rlkey=an9t4if0fasyoyjsq4z8siyjs&amp;dl=0","Click to download Image")</f>
      </c>
      <c r="B2277" s="0">
        <f>HYPERLINK("https://dl.dropboxusercontent.com/scl/fi/muqz6sosmrwixu93uhruf/graphic-update22022-infant.jpg?rlkey=phqw07f40z8q9lnu5uwon3yae&amp;dl=0","Click to download SizeChart")</f>
      </c>
      <c r="C2277" s="0" t="inlineStr">
        <is>
          <t>Lynn Infant Overall Dress</t>
        </is>
      </c>
      <c r="D2277" s="1">
        <v>106982</v>
      </c>
      <c r="E2277" s="0" t="inlineStr">
        <is>
          <t>IA LYNN INFANT:106982A-0-3M</t>
        </is>
      </c>
      <c r="F2277" s="2">
        <v>800106982015</v>
      </c>
      <c r="G2277" s="0" t="inlineStr">
        <is>
          <t>INFANT</t>
        </is>
      </c>
      <c r="H2277" s="0" t="inlineStr">
        <is>
          <t>0-3M</t>
        </is>
      </c>
      <c r="I2277" s="0">
        <v>29.99</v>
      </c>
      <c r="J2277" s="0">
        <v>10</v>
      </c>
    </row>
    <row r="2278" spans="1:10" customHeight="0">
      <c r="A2278" s="0">
        <f>HYPERLINK("https://dl.dropboxusercontent.com/scl/fi/lemrulfurnfaj4u01jtvn/106982f.jpg?rlkey=an9t4if0fasyoyjsq4z8siyjs&amp;dl=0","Click to download Image")</f>
      </c>
      <c r="B2278" s="0">
        <f>HYPERLINK("https://dl.dropboxusercontent.com/scl/fi/muqz6sosmrwixu93uhruf/graphic-update22022-infant.jpg?rlkey=phqw07f40z8q9lnu5uwon3yae&amp;dl=0","Click to download SizeChart")</f>
      </c>
      <c r="C2278" s="0" t="inlineStr">
        <is>
          <t>Lynn Infant Overall Dress</t>
        </is>
      </c>
      <c r="D2278" s="1">
        <v>106982</v>
      </c>
      <c r="E2278" s="0" t="inlineStr">
        <is>
          <t>IA LYNN INFANT:106982B-3-6M</t>
        </is>
      </c>
      <c r="F2278" s="2">
        <v>800106982022</v>
      </c>
      <c r="G2278" s="0" t="inlineStr">
        <is>
          <t>INFANT</t>
        </is>
      </c>
      <c r="H2278" s="0" t="inlineStr">
        <is>
          <t>3-6M</t>
        </is>
      </c>
      <c r="I2278" s="0">
        <v>29.99</v>
      </c>
      <c r="J2278" s="0">
        <v>9</v>
      </c>
    </row>
    <row r="2279" spans="1:10" customHeight="0">
      <c r="A2279" s="0">
        <f>HYPERLINK("https://dl.dropboxusercontent.com/scl/fi/lemrulfurnfaj4u01jtvn/106982f.jpg?rlkey=an9t4if0fasyoyjsq4z8siyjs&amp;dl=0","Click to download Image")</f>
      </c>
      <c r="B2279" s="0">
        <f>HYPERLINK("https://dl.dropboxusercontent.com/scl/fi/muqz6sosmrwixu93uhruf/graphic-update22022-infant.jpg?rlkey=phqw07f40z8q9lnu5uwon3yae&amp;dl=0","Click to download SizeChart")</f>
      </c>
      <c r="C2279" s="0" t="inlineStr">
        <is>
          <t>Lynn Infant Overall Dress</t>
        </is>
      </c>
      <c r="D2279" s="1">
        <v>106982</v>
      </c>
      <c r="E2279" s="0" t="inlineStr">
        <is>
          <t>IA LYNN INFANT:106982C-6-9M</t>
        </is>
      </c>
      <c r="F2279" s="2">
        <v>800106982039</v>
      </c>
      <c r="G2279" s="0" t="inlineStr">
        <is>
          <t>INFANT</t>
        </is>
      </c>
      <c r="H2279" s="0" t="inlineStr">
        <is>
          <t>6-9M</t>
        </is>
      </c>
      <c r="I2279" s="0">
        <v>29.99</v>
      </c>
      <c r="J2279" s="0">
        <v>0</v>
      </c>
    </row>
    <row r="2280" spans="1:10" customHeight="0">
      <c r="A2280" s="0">
        <f>HYPERLINK("https://dl.dropboxusercontent.com/scl/fi/lemrulfurnfaj4u01jtvn/106982f.jpg?rlkey=an9t4if0fasyoyjsq4z8siyjs&amp;dl=0","Click to download Image")</f>
      </c>
      <c r="B2280" s="0">
        <f>HYPERLINK("https://dl.dropboxusercontent.com/scl/fi/muqz6sosmrwixu93uhruf/graphic-update22022-infant.jpg?rlkey=phqw07f40z8q9lnu5uwon3yae&amp;dl=0","Click to download SizeChart")</f>
      </c>
      <c r="C2280" s="0" t="inlineStr">
        <is>
          <t>Lynn Infant Overall Dress</t>
        </is>
      </c>
      <c r="D2280" s="1">
        <v>106982</v>
      </c>
      <c r="E2280" s="0" t="inlineStr">
        <is>
          <t>IA LYNN INFANT:106982F-12M</t>
        </is>
      </c>
      <c r="F2280" s="2">
        <v>800106982046</v>
      </c>
      <c r="G2280" s="0" t="inlineStr">
        <is>
          <t>INFANT</t>
        </is>
      </c>
      <c r="H2280" s="0" t="inlineStr">
        <is>
          <t>12M</t>
        </is>
      </c>
      <c r="I2280" s="0">
        <v>29.99</v>
      </c>
      <c r="J2280" s="0">
        <v>0</v>
      </c>
    </row>
    <row r="2281" spans="1:10" customHeight="0">
      <c r="A2281" s="0">
        <f>HYPERLINK("https://dl.dropboxusercontent.com/scl/fi/w6b5ch5bmveooqfq1036y/mae2.jpg?rlkey=4lczlts0nqkafnafci04dm0f8&amp;dl=0","Click to download Image")</f>
      </c>
      <c r="B2281" s="0">
        <f>HYPERLINK("https://dl.dropboxusercontent.com/scl/fi/lnevy0856he8r8ulpg6l3/womens-size-chartsmae.jpg?rlkey=f1t11apw7l5hli5ahs8h2rw7n&amp;dl=0","Click to download SizeChart")</f>
      </c>
      <c r="C2281" s="0" t="inlineStr">
        <is>
          <t>Mae Women's Faux Leather Leggings</t>
        </is>
      </c>
      <c r="D2281" s="1">
        <v>111001</v>
      </c>
      <c r="E2281" s="0" t="inlineStr">
        <is>
          <t>IOWA MAE:111001AA-XS</t>
        </is>
      </c>
      <c r="F2281" s="2">
        <v>800111001008</v>
      </c>
      <c r="G2281" s="0" t="inlineStr">
        <is>
          <t>WOMENS</t>
        </is>
      </c>
      <c r="H2281" s="0" t="inlineStr">
        <is>
          <t>XS</t>
        </is>
      </c>
      <c r="I2281" s="0">
        <v>49.99</v>
      </c>
      <c r="J2281" s="0">
        <v>40</v>
      </c>
    </row>
    <row r="2282" spans="1:10" customHeight="0">
      <c r="A2282" s="0">
        <f>HYPERLINK("https://dl.dropboxusercontent.com/scl/fi/w6b5ch5bmveooqfq1036y/mae2.jpg?rlkey=4lczlts0nqkafnafci04dm0f8&amp;dl=0","Click to download Image")</f>
      </c>
      <c r="B2282" s="0">
        <f>HYPERLINK("https://dl.dropboxusercontent.com/scl/fi/lnevy0856he8r8ulpg6l3/womens-size-chartsmae.jpg?rlkey=f1t11apw7l5hli5ahs8h2rw7n&amp;dl=0","Click to download SizeChart")</f>
      </c>
      <c r="C2282" s="0" t="inlineStr">
        <is>
          <t>Mae Women's Faux Leather Leggings</t>
        </is>
      </c>
      <c r="D2282" s="1">
        <v>111001</v>
      </c>
      <c r="E2282" s="0" t="inlineStr">
        <is>
          <t>IOWA MAE:111001A-S</t>
        </is>
      </c>
      <c r="F2282" s="2">
        <v>800111001015</v>
      </c>
      <c r="G2282" s="0" t="inlineStr">
        <is>
          <t>WOMENS</t>
        </is>
      </c>
      <c r="H2282" s="0" t="inlineStr">
        <is>
          <t>S</t>
        </is>
      </c>
      <c r="I2282" s="0">
        <v>49.99</v>
      </c>
      <c r="J2282" s="0">
        <v>59</v>
      </c>
    </row>
    <row r="2283" spans="1:10" customHeight="0">
      <c r="A2283" s="0">
        <f>HYPERLINK("https://dl.dropboxusercontent.com/scl/fi/w6b5ch5bmveooqfq1036y/mae2.jpg?rlkey=4lczlts0nqkafnafci04dm0f8&amp;dl=0","Click to download Image")</f>
      </c>
      <c r="B2283" s="0">
        <f>HYPERLINK("https://dl.dropboxusercontent.com/scl/fi/lnevy0856he8r8ulpg6l3/womens-size-chartsmae.jpg?rlkey=f1t11apw7l5hli5ahs8h2rw7n&amp;dl=0","Click to download SizeChart")</f>
      </c>
      <c r="C2283" s="0" t="inlineStr">
        <is>
          <t>Mae Women's Faux Leather Leggings</t>
        </is>
      </c>
      <c r="D2283" s="1">
        <v>111001</v>
      </c>
      <c r="E2283" s="0" t="inlineStr">
        <is>
          <t>IOWA MAE:111001B-M</t>
        </is>
      </c>
      <c r="F2283" s="2">
        <v>800111001022</v>
      </c>
      <c r="G2283" s="0" t="inlineStr">
        <is>
          <t>WOMENS</t>
        </is>
      </c>
      <c r="H2283" s="0" t="inlineStr">
        <is>
          <t>M</t>
        </is>
      </c>
      <c r="I2283" s="0">
        <v>49.99</v>
      </c>
      <c r="J2283" s="0">
        <v>60</v>
      </c>
    </row>
    <row r="2284" spans="1:10" customHeight="0">
      <c r="A2284" s="0">
        <f>HYPERLINK("https://dl.dropboxusercontent.com/scl/fi/w6b5ch5bmveooqfq1036y/mae2.jpg?rlkey=4lczlts0nqkafnafci04dm0f8&amp;dl=0","Click to download Image")</f>
      </c>
      <c r="B2284" s="0">
        <f>HYPERLINK("https://dl.dropboxusercontent.com/scl/fi/lnevy0856he8r8ulpg6l3/womens-size-chartsmae.jpg?rlkey=f1t11apw7l5hli5ahs8h2rw7n&amp;dl=0","Click to download SizeChart")</f>
      </c>
      <c r="C2284" s="0" t="inlineStr">
        <is>
          <t>Mae Women's Faux Leather Leggings</t>
        </is>
      </c>
      <c r="D2284" s="1">
        <v>111001</v>
      </c>
      <c r="E2284" s="0" t="inlineStr">
        <is>
          <t>IOWA MAE:111001C-L</t>
        </is>
      </c>
      <c r="F2284" s="2">
        <v>800111001039</v>
      </c>
      <c r="G2284" s="0" t="inlineStr">
        <is>
          <t>WOMENS</t>
        </is>
      </c>
      <c r="H2284" s="0" t="inlineStr">
        <is>
          <t>L</t>
        </is>
      </c>
      <c r="I2284" s="0">
        <v>49.99</v>
      </c>
      <c r="J2284" s="0">
        <v>39</v>
      </c>
    </row>
    <row r="2285" spans="1:10" customHeight="0">
      <c r="A2285" s="0">
        <f>HYPERLINK("https://dl.dropboxusercontent.com/scl/fi/w6b5ch5bmveooqfq1036y/mae2.jpg?rlkey=4lczlts0nqkafnafci04dm0f8&amp;dl=0","Click to download Image")</f>
      </c>
      <c r="B2285" s="0">
        <f>HYPERLINK("https://dl.dropboxusercontent.com/scl/fi/lnevy0856he8r8ulpg6l3/womens-size-chartsmae.jpg?rlkey=f1t11apw7l5hli5ahs8h2rw7n&amp;dl=0","Click to download SizeChart")</f>
      </c>
      <c r="C2285" s="0" t="inlineStr">
        <is>
          <t>Mae Women's Faux Leather Leggings</t>
        </is>
      </c>
      <c r="D2285" s="1">
        <v>111001</v>
      </c>
      <c r="E2285" s="0" t="inlineStr">
        <is>
          <t>IOWA MAE:111001D-XL</t>
        </is>
      </c>
      <c r="F2285" s="2">
        <v>800111001046</v>
      </c>
      <c r="G2285" s="0" t="inlineStr">
        <is>
          <t>WOMENS</t>
        </is>
      </c>
      <c r="H2285" s="0" t="inlineStr">
        <is>
          <t>XL</t>
        </is>
      </c>
      <c r="I2285" s="0">
        <v>49.99</v>
      </c>
      <c r="J2285" s="0">
        <v>37</v>
      </c>
    </row>
    <row r="2286" spans="1:10" customHeight="0">
      <c r="A2286" s="0">
        <f>HYPERLINK("https://dl.dropboxusercontent.com/scl/fi/w6b5ch5bmveooqfq1036y/mae2.jpg?rlkey=4lczlts0nqkafnafci04dm0f8&amp;dl=0","Click to download Image")</f>
      </c>
      <c r="B2286" s="0">
        <f>HYPERLINK("https://dl.dropboxusercontent.com/scl/fi/lnevy0856he8r8ulpg6l3/womens-size-chartsmae.jpg?rlkey=f1t11apw7l5hli5ahs8h2rw7n&amp;dl=0","Click to download SizeChart")</f>
      </c>
      <c r="C2286" s="0" t="inlineStr">
        <is>
          <t>Mae Women's Faux Leather Leggings</t>
        </is>
      </c>
      <c r="D2286" s="1">
        <v>111001</v>
      </c>
      <c r="E2286" s="0" t="inlineStr">
        <is>
          <t>IOWA MAE:111001E-2XL</t>
        </is>
      </c>
      <c r="F2286" s="2">
        <v>800111001053</v>
      </c>
      <c r="G2286" s="0" t="inlineStr">
        <is>
          <t>WOMENS</t>
        </is>
      </c>
      <c r="H2286" s="0" t="inlineStr">
        <is>
          <t>2XL</t>
        </is>
      </c>
      <c r="I2286" s="0">
        <v>51.99</v>
      </c>
      <c r="J2286" s="0">
        <v>24</v>
      </c>
    </row>
    <row r="2287" spans="1:10" customHeight="0">
      <c r="A2287" s="0">
        <f>HYPERLINK("https://dl.dropboxusercontent.com/scl/fi/w6b5ch5bmveooqfq1036y/mae2.jpg?rlkey=4lczlts0nqkafnafci04dm0f8&amp;dl=0","Click to download Image")</f>
      </c>
      <c r="B2287" s="0">
        <f>HYPERLINK("https://dl.dropboxusercontent.com/scl/fi/lnevy0856he8r8ulpg6l3/womens-size-chartsmae.jpg?rlkey=f1t11apw7l5hli5ahs8h2rw7n&amp;dl=0","Click to download SizeChart")</f>
      </c>
      <c r="C2287" s="0" t="inlineStr">
        <is>
          <t>Mae Women's Faux Leather Leggings</t>
        </is>
      </c>
      <c r="D2287" s="1">
        <v>111001</v>
      </c>
      <c r="E2287" s="0" t="inlineStr">
        <is>
          <t>IOWA MAE:111001F-3XL</t>
        </is>
      </c>
      <c r="F2287" s="2">
        <v>800111001060</v>
      </c>
      <c r="G2287" s="0" t="inlineStr">
        <is>
          <t>WOMENS</t>
        </is>
      </c>
      <c r="H2287" s="0" t="inlineStr">
        <is>
          <t>3XL</t>
        </is>
      </c>
      <c r="I2287" s="0">
        <v>51.99</v>
      </c>
      <c r="J2287" s="0">
        <v>24</v>
      </c>
    </row>
    <row r="2288" spans="1:10" customHeight="0">
      <c r="A2288" s="0">
        <f>HYPERLINK("https://dl.dropboxusercontent.com/scl/fi/w6b5ch5bmveooqfq1036y/mae2.jpg?rlkey=4lczlts0nqkafnafci04dm0f8&amp;dl=0","Click to download Image")</f>
      </c>
      <c r="B2288" s="0">
        <f>HYPERLINK("https://dl.dropboxusercontent.com/scl/fi/lnevy0856he8r8ulpg6l3/womens-size-chartsmae.jpg?rlkey=f1t11apw7l5hli5ahs8h2rw7n&amp;dl=0","Click to download SizeChart")</f>
      </c>
      <c r="C2288" s="0" t="inlineStr">
        <is>
          <t>Mae Women's Faux Leather Leggings</t>
        </is>
      </c>
      <c r="D2288" s="1">
        <v>111001</v>
      </c>
      <c r="E2288" s="0" t="inlineStr">
        <is>
          <t>IOWA MAE 12 PACK:111001Z-12PK</t>
        </is>
      </c>
      <c r="F2288" s="2">
        <v>800111001992</v>
      </c>
      <c r="G2288" s="0" t="inlineStr">
        <is>
          <t>WOMENS</t>
        </is>
      </c>
      <c r="H2288" s="0" t="inlineStr">
        <is>
          <t>12 PACK</t>
        </is>
      </c>
      <c r="I2288" s="0">
        <v>480</v>
      </c>
      <c r="J2288" s="0">
        <v>0</v>
      </c>
    </row>
    <row r="2289" spans="1:10" customHeight="0">
      <c r="A2289" s="0">
        <f>HYPERLINK("https://dl.dropboxusercontent.com/scl/fi/aoxnk2ki5jo9a83yrshdj/final-dsc1966.jpg?rlkey=hjgm2qi1kvxc492p3v4hghtxh&amp;dl=0","Click to download Image")</f>
      </c>
      <c r="B2289" s="0">
        <f>HYPERLINK("https://dl.dropboxusercontent.com/scl/fi/f3eni9qi47npz3wkojbzz/womens-t-shirt-size-chartsmarilynn-bamboo.jpg?rlkey=rlvz88foftdymj3z8rxip95p0&amp;dl=0","Click to download SizeChart")</f>
      </c>
      <c r="C2289" s="0" t="inlineStr">
        <is>
          <t>Marilynn Women's Bamboo T-Shirt</t>
        </is>
      </c>
      <c r="D2289" s="1">
        <v>107154</v>
      </c>
      <c r="E2289" s="0" t="inlineStr">
        <is>
          <t>IA IA IA MARILYNN:107154A-S</t>
        </is>
      </c>
      <c r="F2289" s="2">
        <v>800107154015</v>
      </c>
      <c r="G2289" s="0" t="inlineStr">
        <is>
          <t>WOMENS</t>
        </is>
      </c>
      <c r="H2289" s="0" t="inlineStr">
        <is>
          <t>S</t>
        </is>
      </c>
      <c r="I2289" s="0">
        <v>29.99</v>
      </c>
      <c r="J2289" s="0">
        <v>4</v>
      </c>
    </row>
    <row r="2290" spans="1:10" customHeight="0">
      <c r="A2290" s="0">
        <f>HYPERLINK("https://dl.dropboxusercontent.com/scl/fi/aoxnk2ki5jo9a83yrshdj/final-dsc1966.jpg?rlkey=hjgm2qi1kvxc492p3v4hghtxh&amp;dl=0","Click to download Image")</f>
      </c>
      <c r="B2290" s="0">
        <f>HYPERLINK("https://dl.dropboxusercontent.com/scl/fi/f3eni9qi47npz3wkojbzz/womens-t-shirt-size-chartsmarilynn-bamboo.jpg?rlkey=rlvz88foftdymj3z8rxip95p0&amp;dl=0","Click to download SizeChart")</f>
      </c>
      <c r="C2290" s="0" t="inlineStr">
        <is>
          <t>Marilynn Women's Bamboo T-Shirt</t>
        </is>
      </c>
      <c r="D2290" s="1">
        <v>107154</v>
      </c>
      <c r="E2290" s="0" t="inlineStr">
        <is>
          <t>IA MARILYNN:107154B-M</t>
        </is>
      </c>
      <c r="F2290" s="2">
        <v>800107154022</v>
      </c>
      <c r="G2290" s="0" t="inlineStr">
        <is>
          <t>WOMENS</t>
        </is>
      </c>
      <c r="H2290" s="0" t="inlineStr">
        <is>
          <t>M</t>
        </is>
      </c>
      <c r="I2290" s="0">
        <v>29.99</v>
      </c>
      <c r="J2290" s="0">
        <v>43</v>
      </c>
    </row>
    <row r="2291" spans="1:10" customHeight="0">
      <c r="A2291" s="0">
        <f>HYPERLINK("https://dl.dropboxusercontent.com/scl/fi/aoxnk2ki5jo9a83yrshdj/final-dsc1966.jpg?rlkey=hjgm2qi1kvxc492p3v4hghtxh&amp;dl=0","Click to download Image")</f>
      </c>
      <c r="B2291" s="0">
        <f>HYPERLINK("https://dl.dropboxusercontent.com/scl/fi/f3eni9qi47npz3wkojbzz/womens-t-shirt-size-chartsmarilynn-bamboo.jpg?rlkey=rlvz88foftdymj3z8rxip95p0&amp;dl=0","Click to download SizeChart")</f>
      </c>
      <c r="C2291" s="0" t="inlineStr">
        <is>
          <t>Marilynn Women's Bamboo T-Shirt</t>
        </is>
      </c>
      <c r="D2291" s="1">
        <v>107154</v>
      </c>
      <c r="E2291" s="0" t="inlineStr">
        <is>
          <t>IA MARILYNN:107154C-L</t>
        </is>
      </c>
      <c r="F2291" s="2">
        <v>800107154039</v>
      </c>
      <c r="G2291" s="0" t="inlineStr">
        <is>
          <t>WOMENS</t>
        </is>
      </c>
      <c r="H2291" s="0" t="inlineStr">
        <is>
          <t>L</t>
        </is>
      </c>
      <c r="I2291" s="0">
        <v>29.99</v>
      </c>
      <c r="J2291" s="0">
        <v>36</v>
      </c>
    </row>
    <row r="2292" spans="1:10" customHeight="0">
      <c r="A2292" s="0">
        <f>HYPERLINK("https://dl.dropboxusercontent.com/scl/fi/aoxnk2ki5jo9a83yrshdj/final-dsc1966.jpg?rlkey=hjgm2qi1kvxc492p3v4hghtxh&amp;dl=0","Click to download Image")</f>
      </c>
      <c r="B2292" s="0">
        <f>HYPERLINK("https://dl.dropboxusercontent.com/scl/fi/f3eni9qi47npz3wkojbzz/womens-t-shirt-size-chartsmarilynn-bamboo.jpg?rlkey=rlvz88foftdymj3z8rxip95p0&amp;dl=0","Click to download SizeChart")</f>
      </c>
      <c r="C2292" s="0" t="inlineStr">
        <is>
          <t>Marilynn Women's Bamboo T-Shirt</t>
        </is>
      </c>
      <c r="D2292" s="1">
        <v>107154</v>
      </c>
      <c r="E2292" s="0" t="inlineStr">
        <is>
          <t>IA MARILYNN:107154D-XL</t>
        </is>
      </c>
      <c r="F2292" s="2">
        <v>800107154046</v>
      </c>
      <c r="G2292" s="0" t="inlineStr">
        <is>
          <t>WOMENS</t>
        </is>
      </c>
      <c r="H2292" s="0" t="inlineStr">
        <is>
          <t>XL</t>
        </is>
      </c>
      <c r="I2292" s="0">
        <v>29.99</v>
      </c>
      <c r="J2292" s="0">
        <v>0</v>
      </c>
    </row>
    <row r="2293" spans="1:10" customHeight="0">
      <c r="A2293" s="0">
        <f>HYPERLINK("https://dl.dropboxusercontent.com/scl/fi/aoxnk2ki5jo9a83yrshdj/final-dsc1966.jpg?rlkey=hjgm2qi1kvxc492p3v4hghtxh&amp;dl=0","Click to download Image")</f>
      </c>
      <c r="B2293" s="0">
        <f>HYPERLINK("https://dl.dropboxusercontent.com/scl/fi/f3eni9qi47npz3wkojbzz/womens-t-shirt-size-chartsmarilynn-bamboo.jpg?rlkey=rlvz88foftdymj3z8rxip95p0&amp;dl=0","Click to download SizeChart")</f>
      </c>
      <c r="C2293" s="0" t="inlineStr">
        <is>
          <t>Marilynn Women's Bamboo T-Shirt</t>
        </is>
      </c>
      <c r="D2293" s="1">
        <v>107154</v>
      </c>
      <c r="E2293" s="0" t="inlineStr">
        <is>
          <t>IA MARILYNN:107154E-2XL</t>
        </is>
      </c>
      <c r="F2293" s="2">
        <v>800107154053</v>
      </c>
      <c r="G2293" s="0" t="inlineStr">
        <is>
          <t>WOMENS</t>
        </is>
      </c>
      <c r="H2293" s="0" t="inlineStr">
        <is>
          <t>2XL</t>
        </is>
      </c>
      <c r="I2293" s="0">
        <v>31.99</v>
      </c>
      <c r="J2293" s="0">
        <v>0</v>
      </c>
    </row>
    <row r="2294" spans="1:10" customHeight="0">
      <c r="A2294" s="0">
        <f>HYPERLINK("https://dl.dropboxusercontent.com/scl/fi/aoxnk2ki5jo9a83yrshdj/final-dsc1966.jpg?rlkey=hjgm2qi1kvxc492p3v4hghtxh&amp;dl=0","Click to download Image")</f>
      </c>
      <c r="B2294" s="0">
        <f>HYPERLINK("https://dl.dropboxusercontent.com/scl/fi/f3eni9qi47npz3wkojbzz/womens-t-shirt-size-chartsmarilynn-bamboo.jpg?rlkey=rlvz88foftdymj3z8rxip95p0&amp;dl=0","Click to download SizeChart")</f>
      </c>
      <c r="C2294" s="0" t="inlineStr">
        <is>
          <t>Marilynn Women's Bamboo T-Shirt</t>
        </is>
      </c>
      <c r="D2294" s="1">
        <v>107154</v>
      </c>
      <c r="E2294" s="0" t="inlineStr">
        <is>
          <t>IA MARILYNN:107154F-3XL</t>
        </is>
      </c>
      <c r="F2294" s="2">
        <v>800107154060</v>
      </c>
      <c r="G2294" s="0" t="inlineStr">
        <is>
          <t>WOMENS</t>
        </is>
      </c>
      <c r="H2294" s="0" t="inlineStr">
        <is>
          <t>3XL</t>
        </is>
      </c>
      <c r="I2294" s="0">
        <v>31.99</v>
      </c>
      <c r="J2294" s="0">
        <v>0</v>
      </c>
    </row>
    <row r="2295" spans="1:10" customHeight="0">
      <c r="A2295" s="0">
        <f>HYPERLINK("https://dl.dropboxusercontent.com/scl/fi/2us6hbjcvytub0swhit9s/107214af28620.jpg?rlkey=wnwig0bkp1jxztcbgklx1y9bv&amp;dl=0","Click to download Image")</f>
      </c>
      <c r="C2295" s="0" t="inlineStr">
        <is>
          <t>Mayfield Youth Hoodie</t>
        </is>
      </c>
      <c r="D2295" s="1">
        <v>107214</v>
      </c>
      <c r="E2295" s="0" t="inlineStr">
        <is>
          <t>IA IA MAYFIELD:107214B-YS</t>
        </is>
      </c>
      <c r="F2295" s="2">
        <v>800107214016</v>
      </c>
      <c r="G2295" s="0" t="inlineStr">
        <is>
          <t>YOUTH</t>
        </is>
      </c>
      <c r="H2295" s="0" t="inlineStr">
        <is>
          <t>YS</t>
        </is>
      </c>
      <c r="I2295" s="0">
        <v>39.99</v>
      </c>
      <c r="J2295" s="0">
        <v>0</v>
      </c>
    </row>
    <row r="2296" spans="1:10" customHeight="0">
      <c r="A2296" s="0">
        <f>HYPERLINK("https://dl.dropboxusercontent.com/scl/fi/2us6hbjcvytub0swhit9s/107214af28620.jpg?rlkey=wnwig0bkp1jxztcbgklx1y9bv&amp;dl=0","Click to download Image")</f>
      </c>
      <c r="C2296" s="0" t="inlineStr">
        <is>
          <t>Mayfield Youth Hoodie</t>
        </is>
      </c>
      <c r="D2296" s="1">
        <v>107214</v>
      </c>
      <c r="E2296" s="0" t="inlineStr">
        <is>
          <t>IA MAYFIELD:107214C-YM</t>
        </is>
      </c>
      <c r="F2296" s="2">
        <v>800107214023</v>
      </c>
      <c r="G2296" s="0" t="inlineStr">
        <is>
          <t>YOUTH</t>
        </is>
      </c>
      <c r="H2296" s="0" t="inlineStr">
        <is>
          <t>YM</t>
        </is>
      </c>
      <c r="I2296" s="0">
        <v>39.99</v>
      </c>
      <c r="J2296" s="0">
        <v>30</v>
      </c>
    </row>
    <row r="2297" spans="1:10" customHeight="0">
      <c r="A2297" s="0">
        <f>HYPERLINK("https://dl.dropboxusercontent.com/scl/fi/2us6hbjcvytub0swhit9s/107214af28620.jpg?rlkey=wnwig0bkp1jxztcbgklx1y9bv&amp;dl=0","Click to download Image")</f>
      </c>
      <c r="C2297" s="0" t="inlineStr">
        <is>
          <t>Mayfield Youth Hoodie</t>
        </is>
      </c>
      <c r="D2297" s="1">
        <v>107214</v>
      </c>
      <c r="E2297" s="0" t="inlineStr">
        <is>
          <t>IA MAYFIELD:107214D-YL</t>
        </is>
      </c>
      <c r="F2297" s="2">
        <v>800107214030</v>
      </c>
      <c r="G2297" s="0" t="inlineStr">
        <is>
          <t>YOUTH</t>
        </is>
      </c>
      <c r="H2297" s="0" t="inlineStr">
        <is>
          <t>YL</t>
        </is>
      </c>
      <c r="I2297" s="0">
        <v>39.99</v>
      </c>
      <c r="J2297" s="0">
        <v>22</v>
      </c>
    </row>
    <row r="2298" spans="1:10" customHeight="0">
      <c r="A2298" s="0">
        <f>HYPERLINK("https://dl.dropboxusercontent.com/scl/fi/2us6hbjcvytub0swhit9s/107214af28620.jpg?rlkey=wnwig0bkp1jxztcbgklx1y9bv&amp;dl=0","Click to download Image")</f>
      </c>
      <c r="C2298" s="0" t="inlineStr">
        <is>
          <t>Mayfield Youth Hoodie</t>
        </is>
      </c>
      <c r="D2298" s="1">
        <v>107214</v>
      </c>
      <c r="E2298" s="0" t="inlineStr">
        <is>
          <t>IA MAYFIELD:107214E-YXL</t>
        </is>
      </c>
      <c r="F2298" s="2">
        <v>800107214047</v>
      </c>
      <c r="G2298" s="0" t="inlineStr">
        <is>
          <t>YOUTH</t>
        </is>
      </c>
      <c r="H2298" s="0" t="inlineStr">
        <is>
          <t>YXL</t>
        </is>
      </c>
      <c r="I2298" s="0">
        <v>39.99</v>
      </c>
      <c r="J2298" s="0">
        <v>44</v>
      </c>
    </row>
    <row r="2299" spans="1:10" customHeight="0">
      <c r="A2299" s="0">
        <f>HYPERLINK("https://dl.dropboxusercontent.com/scl/fi/de9oaje53dcattjkmzc8t/dsc5924.jpg?rlkey=xunw31m4kg77bmn2iuka3aya9&amp;dl=0","Click to download Image")</f>
      </c>
      <c r="C2299" s="0" t="inlineStr">
        <is>
          <t>Mercy Women's Leggings</t>
        </is>
      </c>
      <c r="D2299" s="1">
        <v>110862</v>
      </c>
      <c r="E2299" s="0" t="inlineStr">
        <is>
          <t>IOWA MERCY:110862AA-XS</t>
        </is>
      </c>
      <c r="F2299" s="2">
        <v>800110862006</v>
      </c>
      <c r="G2299" s="0" t="inlineStr">
        <is>
          <t>WOMENS</t>
        </is>
      </c>
      <c r="H2299" s="0" t="inlineStr">
        <is>
          <t>XS</t>
        </is>
      </c>
      <c r="I2299" s="0">
        <v>34.99</v>
      </c>
      <c r="J2299" s="0">
        <v>66</v>
      </c>
    </row>
    <row r="2300" spans="1:10" customHeight="0">
      <c r="A2300" s="0">
        <f>HYPERLINK("https://dl.dropboxusercontent.com/scl/fi/de9oaje53dcattjkmzc8t/dsc5924.jpg?rlkey=xunw31m4kg77bmn2iuka3aya9&amp;dl=0","Click to download Image")</f>
      </c>
      <c r="C2300" s="0" t="inlineStr">
        <is>
          <t>Mercy Women's Leggings</t>
        </is>
      </c>
      <c r="D2300" s="1">
        <v>110862</v>
      </c>
      <c r="E2300" s="0" t="inlineStr">
        <is>
          <t>IOWA MERCY:110862A-S</t>
        </is>
      </c>
      <c r="F2300" s="2">
        <v>800110862013</v>
      </c>
      <c r="G2300" s="0" t="inlineStr">
        <is>
          <t>WOMENS</t>
        </is>
      </c>
      <c r="H2300" s="0" t="inlineStr">
        <is>
          <t>S</t>
        </is>
      </c>
      <c r="I2300" s="0">
        <v>34.99</v>
      </c>
      <c r="J2300" s="0">
        <v>76</v>
      </c>
    </row>
    <row r="2301" spans="1:10" customHeight="0">
      <c r="A2301" s="0">
        <f>HYPERLINK("https://dl.dropboxusercontent.com/scl/fi/de9oaje53dcattjkmzc8t/dsc5924.jpg?rlkey=xunw31m4kg77bmn2iuka3aya9&amp;dl=0","Click to download Image")</f>
      </c>
      <c r="C2301" s="0" t="inlineStr">
        <is>
          <t>Mercy Women's Leggings</t>
        </is>
      </c>
      <c r="D2301" s="1">
        <v>110862</v>
      </c>
      <c r="E2301" s="0" t="inlineStr">
        <is>
          <t>IOWA MERCY:110862B-M</t>
        </is>
      </c>
      <c r="F2301" s="2">
        <v>800110862020</v>
      </c>
      <c r="G2301" s="0" t="inlineStr">
        <is>
          <t>WOMENS</t>
        </is>
      </c>
      <c r="H2301" s="0" t="inlineStr">
        <is>
          <t>M</t>
        </is>
      </c>
      <c r="I2301" s="0">
        <v>34.99</v>
      </c>
      <c r="J2301" s="0">
        <v>55</v>
      </c>
    </row>
    <row r="2302" spans="1:10" customHeight="0">
      <c r="A2302" s="0">
        <f>HYPERLINK("https://dl.dropboxusercontent.com/scl/fi/de9oaje53dcattjkmzc8t/dsc5924.jpg?rlkey=xunw31m4kg77bmn2iuka3aya9&amp;dl=0","Click to download Image")</f>
      </c>
      <c r="C2302" s="0" t="inlineStr">
        <is>
          <t>Mercy Women's Leggings</t>
        </is>
      </c>
      <c r="D2302" s="1">
        <v>110862</v>
      </c>
      <c r="E2302" s="0" t="inlineStr">
        <is>
          <t>IOWA MERCY:110862C-L</t>
        </is>
      </c>
      <c r="F2302" s="2">
        <v>800110862037</v>
      </c>
      <c r="G2302" s="0" t="inlineStr">
        <is>
          <t>WOMENS</t>
        </is>
      </c>
      <c r="H2302" s="0" t="inlineStr">
        <is>
          <t>L</t>
        </is>
      </c>
      <c r="I2302" s="0">
        <v>34.99</v>
      </c>
      <c r="J2302" s="0">
        <v>23</v>
      </c>
    </row>
    <row r="2303" spans="1:10" customHeight="0">
      <c r="A2303" s="0">
        <f>HYPERLINK("https://dl.dropboxusercontent.com/scl/fi/de9oaje53dcattjkmzc8t/dsc5924.jpg?rlkey=xunw31m4kg77bmn2iuka3aya9&amp;dl=0","Click to download Image")</f>
      </c>
      <c r="C2303" s="0" t="inlineStr">
        <is>
          <t>Mercy Women's Leggings</t>
        </is>
      </c>
      <c r="D2303" s="1">
        <v>110862</v>
      </c>
      <c r="E2303" s="0" t="inlineStr">
        <is>
          <t>IOWA MERCY:110862D-XL</t>
        </is>
      </c>
      <c r="F2303" s="2">
        <v>800110862044</v>
      </c>
      <c r="G2303" s="0" t="inlineStr">
        <is>
          <t>WOMENS</t>
        </is>
      </c>
      <c r="H2303" s="0" t="inlineStr">
        <is>
          <t>XL</t>
        </is>
      </c>
      <c r="I2303" s="0">
        <v>34.99</v>
      </c>
      <c r="J2303" s="0">
        <v>26</v>
      </c>
    </row>
    <row r="2304" spans="1:10" customHeight="0">
      <c r="A2304" s="0">
        <f>HYPERLINK("https://dl.dropboxusercontent.com/scl/fi/de9oaje53dcattjkmzc8t/dsc5924.jpg?rlkey=xunw31m4kg77bmn2iuka3aya9&amp;dl=0","Click to download Image")</f>
      </c>
      <c r="C2304" s="0" t="inlineStr">
        <is>
          <t>Mercy Women's Leggings</t>
        </is>
      </c>
      <c r="D2304" s="1">
        <v>110862</v>
      </c>
      <c r="E2304" s="0" t="inlineStr">
        <is>
          <t>IOWA MERCY:110862E-2XL</t>
        </is>
      </c>
      <c r="F2304" s="2">
        <v>800110862051</v>
      </c>
      <c r="G2304" s="0" t="inlineStr">
        <is>
          <t>WOMENS</t>
        </is>
      </c>
      <c r="H2304" s="0" t="inlineStr">
        <is>
          <t>2XL</t>
        </is>
      </c>
      <c r="I2304" s="0">
        <v>36.99</v>
      </c>
      <c r="J2304" s="0">
        <v>20</v>
      </c>
    </row>
    <row r="2305" spans="1:10" customHeight="0">
      <c r="A2305" s="0">
        <f>HYPERLINK("https://dl.dropboxusercontent.com/scl/fi/de9oaje53dcattjkmzc8t/dsc5924.jpg?rlkey=xunw31m4kg77bmn2iuka3aya9&amp;dl=0","Click to download Image")</f>
      </c>
      <c r="C2305" s="0" t="inlineStr">
        <is>
          <t>Mercy Women's Leggings</t>
        </is>
      </c>
      <c r="D2305" s="1">
        <v>110862</v>
      </c>
      <c r="E2305" s="0" t="inlineStr">
        <is>
          <t>IOWA MERCY:110862F-3XL</t>
        </is>
      </c>
      <c r="F2305" s="2">
        <v>800110862068</v>
      </c>
      <c r="G2305" s="0" t="inlineStr">
        <is>
          <t>WOMENS</t>
        </is>
      </c>
      <c r="H2305" s="0" t="inlineStr">
        <is>
          <t>3XL</t>
        </is>
      </c>
      <c r="I2305" s="0">
        <v>36.99</v>
      </c>
      <c r="J2305" s="0">
        <v>26</v>
      </c>
    </row>
    <row r="2306" spans="1:10" customHeight="0">
      <c r="A2306" s="0">
        <f>HYPERLINK("https://dl.dropboxusercontent.com/scl/fi/de9oaje53dcattjkmzc8t/dsc5924.jpg?rlkey=xunw31m4kg77bmn2iuka3aya9&amp;dl=0","Click to download Image")</f>
      </c>
      <c r="C2306" s="0" t="inlineStr">
        <is>
          <t>Mercy Women's Leggings</t>
        </is>
      </c>
      <c r="D2306" s="1">
        <v>110862</v>
      </c>
      <c r="E2306" s="0" t="inlineStr">
        <is>
          <t>IOWA MERCY 12 PACK:110862Z-12PK</t>
        </is>
      </c>
      <c r="F2306" s="2">
        <v>800110862990</v>
      </c>
      <c r="G2306" s="0" t="inlineStr">
        <is>
          <t>WOMENS</t>
        </is>
      </c>
      <c r="H2306" s="0" t="inlineStr">
        <is>
          <t>12 PACK</t>
        </is>
      </c>
      <c r="I2306" s="0">
        <v>407.88</v>
      </c>
      <c r="J2306" s="0">
        <v>0</v>
      </c>
    </row>
    <row r="2307" spans="1:10" customHeight="0">
      <c r="A2307" s="0">
        <f>HYPERLINK("https://dl.dropboxusercontent.com/scl/fi/q2smau992drpqpy13ukr8/92167-af.jpg?rlkey=yvb43gn1lxz5mucuv1rsak2dh&amp;dl=0","Click to download Image")</f>
      </c>
      <c r="C2307" s="0" t="inlineStr">
        <is>
          <t>Ombre Extra-Large Backpack</t>
        </is>
      </c>
      <c r="D2307" s="1">
        <v>92167</v>
      </c>
      <c r="E2307" s="0" t="inlineStr">
        <is>
          <t>OMBRE XLARGE:92167-XL</t>
        </is>
      </c>
      <c r="H2307" s="0" t="inlineStr">
        <is>
          <t>15" W X 21" H X 10" D</t>
        </is>
      </c>
      <c r="I2307" s="0">
        <v>59.99</v>
      </c>
      <c r="J2307" s="0">
        <v>388</v>
      </c>
    </row>
    <row r="2308" spans="1:10" customHeight="0">
      <c r="A2308" s="0">
        <f>HYPERLINK("https://dl.dropboxusercontent.com/scl/fi/23x72ady99unj306u23pm/92596-af.jpg?rlkey=8wzqydk9nar03kpjiqg213cea&amp;dl=0","Click to download Image")</f>
      </c>
      <c r="C2308" s="0" t="inlineStr">
        <is>
          <t>Ombre Standard Backpack</t>
        </is>
      </c>
      <c r="D2308" s="1">
        <v>92596</v>
      </c>
      <c r="E2308" s="0" t="inlineStr">
        <is>
          <t>OMBRE STANDARD:92596-ST</t>
        </is>
      </c>
      <c r="H2308" s="0" t="inlineStr">
        <is>
          <t>11" W X 16" H X 8" D</t>
        </is>
      </c>
      <c r="I2308" s="0">
        <v>49.99</v>
      </c>
      <c r="J2308" s="0">
        <v>151</v>
      </c>
    </row>
    <row r="2309" spans="1:10" customHeight="0">
      <c r="A2309" s="0">
        <f>HYPERLINK("https://dl.dropboxusercontent.com/scl/fi/ou04ywtayvo1c524ms4fl/92597-af-1.jpg?rlkey=skory5ttfsdx7aozje4pwtg7q&amp;dl=0","Click to download Image")</f>
      </c>
      <c r="C2309" s="0" t="inlineStr">
        <is>
          <t>Ombre Mini Backpack</t>
        </is>
      </c>
      <c r="D2309" s="1">
        <v>92597</v>
      </c>
      <c r="E2309" s="0" t="inlineStr">
        <is>
          <t>OMBRE SMALL:92597-MN</t>
        </is>
      </c>
      <c r="H2309" s="0" t="inlineStr">
        <is>
          <t>8.5" W X 11" H X 4.5" D</t>
        </is>
      </c>
      <c r="I2309" s="0">
        <v>39.99</v>
      </c>
      <c r="J2309" s="0">
        <v>120</v>
      </c>
    </row>
    <row r="2310" spans="1:10" customHeight="0">
      <c r="A2310" s="0">
        <f>HYPERLINK("https://dl.dropboxusercontent.com/scl/fi/6uchrgyk8pokos84x881w/113326af.jpg?rlkey=loswmsgkrv94g4qto0irjq6zv&amp;dl=0","Click to download Image")</f>
      </c>
      <c r="B2310" s="0">
        <f>HYPERLINK("https://dl.dropboxusercontent.com/scl/fi/6ee2xmve26z8mwme3a3l8/womens-t-shirt-size-chartspatty.jpg?rlkey=byg787eigva4lyohdhslw3xx3&amp;dl=0","Click to download SizeChart")</f>
      </c>
      <c r="C2310" s="0" t="inlineStr">
        <is>
          <t>Patty Women's Ripped Long Sleeve</t>
        </is>
      </c>
      <c r="D2310" s="1">
        <v>113326</v>
      </c>
      <c r="E2310" s="0" t="inlineStr">
        <is>
          <t>IOWA PATTY W GREY:113326A-S</t>
        </is>
      </c>
      <c r="F2310" s="2">
        <v>800113326048</v>
      </c>
      <c r="G2310" s="0" t="inlineStr">
        <is>
          <t>WOMENS</t>
        </is>
      </c>
      <c r="H2310" s="0" t="inlineStr">
        <is>
          <t>S</t>
        </is>
      </c>
      <c r="I2310" s="0">
        <v>41.99</v>
      </c>
      <c r="J2310" s="0">
        <v>14</v>
      </c>
    </row>
    <row r="2311" spans="1:10" customHeight="0">
      <c r="A2311" s="0">
        <f>HYPERLINK("https://dl.dropboxusercontent.com/scl/fi/6uchrgyk8pokos84x881w/113326af.jpg?rlkey=loswmsgkrv94g4qto0irjq6zv&amp;dl=0","Click to download Image")</f>
      </c>
      <c r="B2311" s="0">
        <f>HYPERLINK("https://dl.dropboxusercontent.com/scl/fi/6ee2xmve26z8mwme3a3l8/womens-t-shirt-size-chartspatty.jpg?rlkey=byg787eigva4lyohdhslw3xx3&amp;dl=0","Click to download SizeChart")</f>
      </c>
      <c r="C2311" s="0" t="inlineStr">
        <is>
          <t>Patty Women's Ripped Long Sleeve</t>
        </is>
      </c>
      <c r="D2311" s="1">
        <v>113326</v>
      </c>
      <c r="E2311" s="0" t="inlineStr">
        <is>
          <t>IOWA PATTY W GREY:113326B-M</t>
        </is>
      </c>
      <c r="F2311" s="2">
        <v>800113326055</v>
      </c>
      <c r="G2311" s="0" t="inlineStr">
        <is>
          <t>WOMENS</t>
        </is>
      </c>
      <c r="H2311" s="0" t="inlineStr">
        <is>
          <t>M</t>
        </is>
      </c>
      <c r="I2311" s="0">
        <v>41.99</v>
      </c>
      <c r="J2311" s="0">
        <v>30</v>
      </c>
    </row>
    <row r="2312" spans="1:10" customHeight="0">
      <c r="A2312" s="0">
        <f>HYPERLINK("https://dl.dropboxusercontent.com/scl/fi/6uchrgyk8pokos84x881w/113326af.jpg?rlkey=loswmsgkrv94g4qto0irjq6zv&amp;dl=0","Click to download Image")</f>
      </c>
      <c r="B2312" s="0">
        <f>HYPERLINK("https://dl.dropboxusercontent.com/scl/fi/6ee2xmve26z8mwme3a3l8/womens-t-shirt-size-chartspatty.jpg?rlkey=byg787eigva4lyohdhslw3xx3&amp;dl=0","Click to download SizeChart")</f>
      </c>
      <c r="C2312" s="0" t="inlineStr">
        <is>
          <t>Patty Women's Ripped Long Sleeve</t>
        </is>
      </c>
      <c r="D2312" s="1">
        <v>113326</v>
      </c>
      <c r="E2312" s="0" t="inlineStr">
        <is>
          <t>IOWA PATTY W GREY:113326C-L</t>
        </is>
      </c>
      <c r="F2312" s="2">
        <v>800113326062</v>
      </c>
      <c r="G2312" s="0" t="inlineStr">
        <is>
          <t>WOMENS</t>
        </is>
      </c>
      <c r="H2312" s="0" t="inlineStr">
        <is>
          <t>L</t>
        </is>
      </c>
      <c r="I2312" s="0">
        <v>41.99</v>
      </c>
      <c r="J2312" s="0">
        <v>23</v>
      </c>
    </row>
    <row r="2313" spans="1:10" customHeight="0">
      <c r="A2313" s="0">
        <f>HYPERLINK("https://dl.dropboxusercontent.com/scl/fi/6uchrgyk8pokos84x881w/113326af.jpg?rlkey=loswmsgkrv94g4qto0irjq6zv&amp;dl=0","Click to download Image")</f>
      </c>
      <c r="B2313" s="0">
        <f>HYPERLINK("https://dl.dropboxusercontent.com/scl/fi/6ee2xmve26z8mwme3a3l8/womens-t-shirt-size-chartspatty.jpg?rlkey=byg787eigva4lyohdhslw3xx3&amp;dl=0","Click to download SizeChart")</f>
      </c>
      <c r="C2313" s="0" t="inlineStr">
        <is>
          <t>Patty Women's Ripped Long Sleeve</t>
        </is>
      </c>
      <c r="D2313" s="1">
        <v>113326</v>
      </c>
      <c r="E2313" s="0" t="inlineStr">
        <is>
          <t>IOWA PATTY W GREY:113326D-XL</t>
        </is>
      </c>
      <c r="F2313" s="2">
        <v>800113326079</v>
      </c>
      <c r="G2313" s="0" t="inlineStr">
        <is>
          <t>WOMENS</t>
        </is>
      </c>
      <c r="H2313" s="0" t="inlineStr">
        <is>
          <t>XL</t>
        </is>
      </c>
      <c r="I2313" s="0">
        <v>41.99</v>
      </c>
      <c r="J2313" s="0">
        <v>14</v>
      </c>
    </row>
    <row r="2314" spans="1:10" customHeight="0">
      <c r="A2314" s="0">
        <f>HYPERLINK("https://dl.dropboxusercontent.com/scl/fi/6uchrgyk8pokos84x881w/113326af.jpg?rlkey=loswmsgkrv94g4qto0irjq6zv&amp;dl=0","Click to download Image")</f>
      </c>
      <c r="B2314" s="0">
        <f>HYPERLINK("https://dl.dropboxusercontent.com/scl/fi/6ee2xmve26z8mwme3a3l8/womens-t-shirt-size-chartspatty.jpg?rlkey=byg787eigva4lyohdhslw3xx3&amp;dl=0","Click to download SizeChart")</f>
      </c>
      <c r="C2314" s="0" t="inlineStr">
        <is>
          <t>Patty Women's Ripped Long Sleeve</t>
        </is>
      </c>
      <c r="D2314" s="1">
        <v>113326</v>
      </c>
      <c r="E2314" s="0" t="inlineStr">
        <is>
          <t>IOWA PATTY W GREY:113326E-2XL</t>
        </is>
      </c>
      <c r="F2314" s="2">
        <v>800113326086</v>
      </c>
      <c r="G2314" s="0" t="inlineStr">
        <is>
          <t>WOMENS</t>
        </is>
      </c>
      <c r="H2314" s="0" t="inlineStr">
        <is>
          <t>2XL</t>
        </is>
      </c>
      <c r="I2314" s="0">
        <v>43.99</v>
      </c>
      <c r="J2314" s="0">
        <v>15</v>
      </c>
    </row>
    <row r="2315" spans="1:10" customHeight="0">
      <c r="A2315" s="0">
        <f>HYPERLINK("https://dl.dropboxusercontent.com/scl/fi/6uchrgyk8pokos84x881w/113326af.jpg?rlkey=loswmsgkrv94g4qto0irjq6zv&amp;dl=0","Click to download Image")</f>
      </c>
      <c r="B2315" s="0">
        <f>HYPERLINK("https://dl.dropboxusercontent.com/scl/fi/6ee2xmve26z8mwme3a3l8/womens-t-shirt-size-chartspatty.jpg?rlkey=byg787eigva4lyohdhslw3xx3&amp;dl=0","Click to download SizeChart")</f>
      </c>
      <c r="C2315" s="0" t="inlineStr">
        <is>
          <t>Patty Women's Ripped Long Sleeve</t>
        </is>
      </c>
      <c r="D2315" s="1">
        <v>113326</v>
      </c>
      <c r="E2315" s="0" t="inlineStr">
        <is>
          <t>IOWA PATTY W GREY:113326F-3XL</t>
        </is>
      </c>
      <c r="F2315" s="2">
        <v>800113326093</v>
      </c>
      <c r="G2315" s="0" t="inlineStr">
        <is>
          <t>WOMENS</t>
        </is>
      </c>
      <c r="H2315" s="0" t="inlineStr">
        <is>
          <t>3XL</t>
        </is>
      </c>
      <c r="I2315" s="0">
        <v>43.99</v>
      </c>
      <c r="J2315" s="0">
        <v>8</v>
      </c>
    </row>
    <row r="2316" spans="1:10" customHeight="0">
      <c r="A2316" s="0">
        <f>HYPERLINK("https://dl.dropboxusercontent.com/scl/fi/6uchrgyk8pokos84x881w/113326af.jpg?rlkey=loswmsgkrv94g4qto0irjq6zv&amp;dl=0","Click to download Image")</f>
      </c>
      <c r="B2316" s="0">
        <f>HYPERLINK("https://dl.dropboxusercontent.com/scl/fi/6ee2xmve26z8mwme3a3l8/womens-t-shirt-size-chartspatty.jpg?rlkey=byg787eigva4lyohdhslw3xx3&amp;dl=0","Click to download SizeChart")</f>
      </c>
      <c r="C2316" s="0" t="inlineStr">
        <is>
          <t>Patty Women's Ripped Long Sleeve</t>
        </is>
      </c>
      <c r="D2316" s="1">
        <v>113326</v>
      </c>
      <c r="E2316" s="0" t="inlineStr">
        <is>
          <t>IOWA PATTY W GREY 12 PACK:113326Z-12PK</t>
        </is>
      </c>
      <c r="F2316" s="2">
        <v>800113326994</v>
      </c>
      <c r="G2316" s="0" t="inlineStr">
        <is>
          <t>WOMENS</t>
        </is>
      </c>
      <c r="H2316" s="0" t="inlineStr">
        <is>
          <t>12 PACK</t>
        </is>
      </c>
      <c r="I2316" s="0">
        <v>480</v>
      </c>
      <c r="J2316" s="0">
        <v>0</v>
      </c>
    </row>
    <row r="2317" spans="1:10" customHeight="0">
      <c r="A2317" s="0">
        <f>HYPERLINK("https://dl.dropboxusercontent.com/scl/fi/7i27xsyjkv86cdk1sfqqv/112866-af.png?rlkey=8fkh52m6rroq3xk3ox9i9fywd&amp;dl=0","Click to download Image")</f>
      </c>
      <c r="B2317" s="0">
        <f>HYPERLINK("https://dl.dropboxusercontent.com/scl/fi/wv583s1fwmwe4mdgs9ao3/graphic-update22022-toddler.jpg?rlkey=8fzoemd0n8s7dhrjvrd4cmzhj&amp;dl=0","Click to download SizeChart")</f>
      </c>
      <c r="C2317" s="0" t="inlineStr">
        <is>
          <t>Payton Toddler Quilted Jacket</t>
        </is>
      </c>
      <c r="D2317" s="1">
        <v>114890</v>
      </c>
      <c r="E2317" s="0" t="inlineStr">
        <is>
          <t>IOWA PAYTON T GREY:114890A-2T</t>
        </is>
      </c>
      <c r="F2317" s="2">
        <v>800114890081</v>
      </c>
      <c r="G2317" s="0" t="inlineStr">
        <is>
          <t>TODDLER</t>
        </is>
      </c>
      <c r="H2317" s="0" t="inlineStr">
        <is>
          <t>2T</t>
        </is>
      </c>
      <c r="I2317" s="0">
        <v>69.99</v>
      </c>
      <c r="J2317" s="0">
        <v>4</v>
      </c>
    </row>
    <row r="2318" spans="1:10" customHeight="0">
      <c r="A2318" s="0">
        <f>HYPERLINK("https://dl.dropboxusercontent.com/scl/fi/7i27xsyjkv86cdk1sfqqv/112866-af.png?rlkey=8fkh52m6rroq3xk3ox9i9fywd&amp;dl=0","Click to download Image")</f>
      </c>
      <c r="B2318" s="0">
        <f>HYPERLINK("https://dl.dropboxusercontent.com/scl/fi/wv583s1fwmwe4mdgs9ao3/graphic-update22022-toddler.jpg?rlkey=8fzoemd0n8s7dhrjvrd4cmzhj&amp;dl=0","Click to download SizeChart")</f>
      </c>
      <c r="C2318" s="0" t="inlineStr">
        <is>
          <t>Payton Toddler Quilted Jacket</t>
        </is>
      </c>
      <c r="D2318" s="1">
        <v>114890</v>
      </c>
      <c r="E2318" s="0" t="inlineStr">
        <is>
          <t>IOWA PAYTON T GREY:114890B-3T</t>
        </is>
      </c>
      <c r="F2318" s="2">
        <v>800114890098</v>
      </c>
      <c r="G2318" s="0" t="inlineStr">
        <is>
          <t>TODDLER</t>
        </is>
      </c>
      <c r="H2318" s="0" t="inlineStr">
        <is>
          <t>3T</t>
        </is>
      </c>
      <c r="I2318" s="0">
        <v>69.99</v>
      </c>
      <c r="J2318" s="0">
        <v>4</v>
      </c>
    </row>
    <row r="2319" spans="1:10" customHeight="0">
      <c r="A2319" s="0">
        <f>HYPERLINK("https://dl.dropboxusercontent.com/scl/fi/7i27xsyjkv86cdk1sfqqv/112866-af.png?rlkey=8fkh52m6rroq3xk3ox9i9fywd&amp;dl=0","Click to download Image")</f>
      </c>
      <c r="B2319" s="0">
        <f>HYPERLINK("https://dl.dropboxusercontent.com/scl/fi/wv583s1fwmwe4mdgs9ao3/graphic-update22022-toddler.jpg?rlkey=8fzoemd0n8s7dhrjvrd4cmzhj&amp;dl=0","Click to download SizeChart")</f>
      </c>
      <c r="C2319" s="0" t="inlineStr">
        <is>
          <t>Payton Toddler Quilted Jacket</t>
        </is>
      </c>
      <c r="D2319" s="1">
        <v>114890</v>
      </c>
      <c r="E2319" s="0" t="inlineStr">
        <is>
          <t>IOWA PAYTON T GREY:114890C-4T</t>
        </is>
      </c>
      <c r="F2319" s="2">
        <v>800114890104</v>
      </c>
      <c r="G2319" s="0" t="inlineStr">
        <is>
          <t>TODDLER</t>
        </is>
      </c>
      <c r="H2319" s="0" t="inlineStr">
        <is>
          <t>4T</t>
        </is>
      </c>
      <c r="I2319" s="0">
        <v>69.99</v>
      </c>
      <c r="J2319" s="0">
        <v>3</v>
      </c>
    </row>
    <row r="2320" spans="1:10" customHeight="0">
      <c r="A2320" s="0">
        <f>HYPERLINK("https://dl.dropboxusercontent.com/scl/fi/7i27xsyjkv86cdk1sfqqv/112866-af.png?rlkey=8fkh52m6rroq3xk3ox9i9fywd&amp;dl=0","Click to download Image")</f>
      </c>
      <c r="B2320" s="0">
        <f>HYPERLINK("https://dl.dropboxusercontent.com/scl/fi/wv583s1fwmwe4mdgs9ao3/graphic-update22022-toddler.jpg?rlkey=8fzoemd0n8s7dhrjvrd4cmzhj&amp;dl=0","Click to download SizeChart")</f>
      </c>
      <c r="C2320" s="0" t="inlineStr">
        <is>
          <t>Payton Toddler Quilted Jacket</t>
        </is>
      </c>
      <c r="D2320" s="1">
        <v>114890</v>
      </c>
      <c r="E2320" s="0" t="inlineStr">
        <is>
          <t>IOWA PAYTON T GREY:114890D-5T</t>
        </is>
      </c>
      <c r="F2320" s="2">
        <v>800114890111</v>
      </c>
      <c r="G2320" s="0" t="inlineStr">
        <is>
          <t>TODDLER</t>
        </is>
      </c>
      <c r="H2320" s="0" t="inlineStr">
        <is>
          <t>5T</t>
        </is>
      </c>
      <c r="I2320" s="0">
        <v>69.99</v>
      </c>
      <c r="J2320" s="0">
        <v>2</v>
      </c>
    </row>
    <row r="2321" spans="1:10" customHeight="0">
      <c r="A2321" s="0">
        <f>HYPERLINK("https://dl.dropboxusercontent.com/scl/fi/7i27xsyjkv86cdk1sfqqv/112866-af.png?rlkey=8fkh52m6rroq3xk3ox9i9fywd&amp;dl=0","Click to download Image")</f>
      </c>
      <c r="B2321" s="0">
        <f>HYPERLINK("https://dl.dropboxusercontent.com/scl/fi/wv583s1fwmwe4mdgs9ao3/graphic-update22022-toddler.jpg?rlkey=8fzoemd0n8s7dhrjvrd4cmzhj&amp;dl=0","Click to download SizeChart")</f>
      </c>
      <c r="C2321" s="0" t="inlineStr">
        <is>
          <t>Payton Toddler Quilted Jacket</t>
        </is>
      </c>
      <c r="D2321" s="1">
        <v>114890</v>
      </c>
      <c r="E2321" s="0" t="inlineStr">
        <is>
          <t>IOWA PAYTON T GREY 12 PACK:114890Z-12PK</t>
        </is>
      </c>
      <c r="F2321" s="2">
        <v>800114890999</v>
      </c>
      <c r="G2321" s="0" t="inlineStr">
        <is>
          <t>TODDLER</t>
        </is>
      </c>
      <c r="H2321" s="0" t="inlineStr">
        <is>
          <t>12 PACK</t>
        </is>
      </c>
      <c r="I2321" s="0">
        <v>672</v>
      </c>
      <c r="J2321" s="0">
        <v>0</v>
      </c>
    </row>
    <row r="2322" spans="1:10" customHeight="0">
      <c r="A2322" s="0">
        <f>HYPERLINK("https://dl.dropboxusercontent.com/scl/fi/wsu94psj1xeur28vpl3hy/98632-f.jpg?rlkey=z312g51pmm63i0lu3ayc23xne&amp;dl=0","Click to download Image")</f>
      </c>
      <c r="C2322" s="0" t="inlineStr">
        <is>
          <t>Penelope Bodysuit</t>
        </is>
      </c>
      <c r="D2322" s="1">
        <v>98632</v>
      </c>
      <c r="E2322" s="0" t="inlineStr">
        <is>
          <t>PENELOPE:98632A-0/3M</t>
        </is>
      </c>
      <c r="G2322" s="0" t="inlineStr">
        <is>
          <t>INFANT</t>
        </is>
      </c>
      <c r="H2322" s="0" t="inlineStr">
        <is>
          <t>0-3M</t>
        </is>
      </c>
      <c r="I2322" s="0">
        <v>24.99</v>
      </c>
      <c r="J2322" s="0">
        <v>92</v>
      </c>
    </row>
    <row r="2323" spans="1:10" customHeight="0">
      <c r="A2323" s="0">
        <f>HYPERLINK("https://dl.dropboxusercontent.com/scl/fi/wsu94psj1xeur28vpl3hy/98632-f.jpg?rlkey=z312g51pmm63i0lu3ayc23xne&amp;dl=0","Click to download Image")</f>
      </c>
      <c r="C2323" s="0" t="inlineStr">
        <is>
          <t>Penelope Bodysuit</t>
        </is>
      </c>
      <c r="D2323" s="1">
        <v>98632</v>
      </c>
      <c r="E2323" s="0" t="inlineStr">
        <is>
          <t>PENELOPE:98632B-3/6M</t>
        </is>
      </c>
      <c r="G2323" s="0" t="inlineStr">
        <is>
          <t>INFANT</t>
        </is>
      </c>
      <c r="H2323" s="0" t="inlineStr">
        <is>
          <t>3-6M</t>
        </is>
      </c>
      <c r="I2323" s="0">
        <v>24.99</v>
      </c>
      <c r="J2323" s="0">
        <v>91</v>
      </c>
    </row>
    <row r="2324" spans="1:10" customHeight="0">
      <c r="A2324" s="0">
        <f>HYPERLINK("https://dl.dropboxusercontent.com/scl/fi/wsu94psj1xeur28vpl3hy/98632-f.jpg?rlkey=z312g51pmm63i0lu3ayc23xne&amp;dl=0","Click to download Image")</f>
      </c>
      <c r="C2324" s="0" t="inlineStr">
        <is>
          <t>Penelope Bodysuit</t>
        </is>
      </c>
      <c r="D2324" s="1">
        <v>98632</v>
      </c>
      <c r="E2324" s="0" t="inlineStr">
        <is>
          <t>PENELOPE:98632C-6/9M</t>
        </is>
      </c>
      <c r="G2324" s="0" t="inlineStr">
        <is>
          <t>INFANT</t>
        </is>
      </c>
      <c r="H2324" s="0" t="inlineStr">
        <is>
          <t>6-9M</t>
        </is>
      </c>
      <c r="I2324" s="0">
        <v>24.99</v>
      </c>
      <c r="J2324" s="0">
        <v>112</v>
      </c>
    </row>
    <row r="2325" spans="1:10" customHeight="0">
      <c r="A2325" s="0">
        <f>HYPERLINK("https://dl.dropboxusercontent.com/scl/fi/wsu94psj1xeur28vpl3hy/98632-f.jpg?rlkey=z312g51pmm63i0lu3ayc23xne&amp;dl=0","Click to download Image")</f>
      </c>
      <c r="C2325" s="0" t="inlineStr">
        <is>
          <t>Penelope Bodysuit</t>
        </is>
      </c>
      <c r="D2325" s="1">
        <v>98632</v>
      </c>
      <c r="E2325" s="0" t="inlineStr">
        <is>
          <t>PENELOPE:98632D-12M</t>
        </is>
      </c>
      <c r="G2325" s="0" t="inlineStr">
        <is>
          <t>INFANT</t>
        </is>
      </c>
      <c r="H2325" s="0" t="inlineStr">
        <is>
          <t>12M</t>
        </is>
      </c>
      <c r="I2325" s="0">
        <v>24.99</v>
      </c>
      <c r="J2325" s="0">
        <v>93</v>
      </c>
    </row>
    <row r="2326" spans="1:10" customHeight="0">
      <c r="A2326" s="0">
        <f>HYPERLINK("https://dl.dropboxusercontent.com/scl/fi/4uhrx816rikqxnqvnh0w7/quinton.jpg?rlkey=ls82dkoh4s3rcq2cc9hb8vn9n&amp;dl=0","Click to download Image")</f>
      </c>
      <c r="B2326" s="0">
        <f>HYPERLINK("https://dl.dropboxusercontent.com/scl/fi/scrsbg68nex4oavqa9lud/mens-polo-size-chartsbrent.jpg?rlkey=rrmaqcvz1qokdp3n7krx6rxwh&amp;dl=0","Click to download SizeChart")</f>
      </c>
      <c r="C2326" s="0" t="inlineStr">
        <is>
          <t>Quinton Men's Golf Polo</t>
        </is>
      </c>
      <c r="D2326" s="1">
        <v>164274</v>
      </c>
      <c r="E2326" s="0" t="inlineStr">
        <is>
          <t>IOWA QUINTON M GD:164274A-S</t>
        </is>
      </c>
      <c r="F2326" s="2">
        <v>800164274046</v>
      </c>
      <c r="G2326" s="0" t="inlineStr">
        <is>
          <t>MENS</t>
        </is>
      </c>
      <c r="H2326" s="0" t="inlineStr">
        <is>
          <t>S</t>
        </is>
      </c>
      <c r="I2326" s="0">
        <v>39.99</v>
      </c>
      <c r="J2326" s="0">
        <v>29</v>
      </c>
    </row>
    <row r="2327" spans="1:10" customHeight="0">
      <c r="A2327" s="0">
        <f>HYPERLINK("https://dl.dropboxusercontent.com/scl/fi/4uhrx816rikqxnqvnh0w7/quinton.jpg?rlkey=ls82dkoh4s3rcq2cc9hb8vn9n&amp;dl=0","Click to download Image")</f>
      </c>
      <c r="B2327" s="0">
        <f>HYPERLINK("https://dl.dropboxusercontent.com/scl/fi/scrsbg68nex4oavqa9lud/mens-polo-size-chartsbrent.jpg?rlkey=rrmaqcvz1qokdp3n7krx6rxwh&amp;dl=0","Click to download SizeChart")</f>
      </c>
      <c r="C2327" s="0" t="inlineStr">
        <is>
          <t>Quinton Men's Golf Polo</t>
        </is>
      </c>
      <c r="D2327" s="1">
        <v>164274</v>
      </c>
      <c r="E2327" s="0" t="inlineStr">
        <is>
          <t>IOWA QUINTON M GD:164274B-M</t>
        </is>
      </c>
      <c r="F2327" s="2">
        <v>800164274053</v>
      </c>
      <c r="G2327" s="0" t="inlineStr">
        <is>
          <t>MENS</t>
        </is>
      </c>
      <c r="H2327" s="0" t="inlineStr">
        <is>
          <t>M</t>
        </is>
      </c>
      <c r="I2327" s="0">
        <v>39.99</v>
      </c>
      <c r="J2327" s="0">
        <v>46</v>
      </c>
    </row>
    <row r="2328" spans="1:10" customHeight="0">
      <c r="A2328" s="0">
        <f>HYPERLINK("https://dl.dropboxusercontent.com/scl/fi/4uhrx816rikqxnqvnh0w7/quinton.jpg?rlkey=ls82dkoh4s3rcq2cc9hb8vn9n&amp;dl=0","Click to download Image")</f>
      </c>
      <c r="B2328" s="0">
        <f>HYPERLINK("https://dl.dropboxusercontent.com/scl/fi/scrsbg68nex4oavqa9lud/mens-polo-size-chartsbrent.jpg?rlkey=rrmaqcvz1qokdp3n7krx6rxwh&amp;dl=0","Click to download SizeChart")</f>
      </c>
      <c r="C2328" s="0" t="inlineStr">
        <is>
          <t>Quinton Men's Golf Polo</t>
        </is>
      </c>
      <c r="D2328" s="1">
        <v>164274</v>
      </c>
      <c r="E2328" s="0" t="inlineStr">
        <is>
          <t>IOWA QUINTON M GD:164274C-L</t>
        </is>
      </c>
      <c r="F2328" s="2">
        <v>800164274060</v>
      </c>
      <c r="G2328" s="0" t="inlineStr">
        <is>
          <t>MENS</t>
        </is>
      </c>
      <c r="H2328" s="0" t="inlineStr">
        <is>
          <t>L</t>
        </is>
      </c>
      <c r="I2328" s="0">
        <v>39.99</v>
      </c>
      <c r="J2328" s="0">
        <v>66</v>
      </c>
    </row>
    <row r="2329" spans="1:10" customHeight="0">
      <c r="A2329" s="0">
        <f>HYPERLINK("https://dl.dropboxusercontent.com/scl/fi/4uhrx816rikqxnqvnh0w7/quinton.jpg?rlkey=ls82dkoh4s3rcq2cc9hb8vn9n&amp;dl=0","Click to download Image")</f>
      </c>
      <c r="B2329" s="0">
        <f>HYPERLINK("https://dl.dropboxusercontent.com/scl/fi/scrsbg68nex4oavqa9lud/mens-polo-size-chartsbrent.jpg?rlkey=rrmaqcvz1qokdp3n7krx6rxwh&amp;dl=0","Click to download SizeChart")</f>
      </c>
      <c r="C2329" s="0" t="inlineStr">
        <is>
          <t>Quinton Men's Golf Polo</t>
        </is>
      </c>
      <c r="D2329" s="1">
        <v>164274</v>
      </c>
      <c r="E2329" s="0" t="inlineStr">
        <is>
          <t>IOWA QUINTON M GD:164274D-XL</t>
        </is>
      </c>
      <c r="F2329" s="2">
        <v>800164274077</v>
      </c>
      <c r="G2329" s="0" t="inlineStr">
        <is>
          <t>MENS</t>
        </is>
      </c>
      <c r="H2329" s="0" t="inlineStr">
        <is>
          <t>XL</t>
        </is>
      </c>
      <c r="I2329" s="0">
        <v>39.99</v>
      </c>
      <c r="J2329" s="0">
        <v>61</v>
      </c>
    </row>
    <row r="2330" spans="1:10" customHeight="0">
      <c r="A2330" s="0">
        <f>HYPERLINK("https://dl.dropboxusercontent.com/scl/fi/4uhrx816rikqxnqvnh0w7/quinton.jpg?rlkey=ls82dkoh4s3rcq2cc9hb8vn9n&amp;dl=0","Click to download Image")</f>
      </c>
      <c r="B2330" s="0">
        <f>HYPERLINK("https://dl.dropboxusercontent.com/scl/fi/scrsbg68nex4oavqa9lud/mens-polo-size-chartsbrent.jpg?rlkey=rrmaqcvz1qokdp3n7krx6rxwh&amp;dl=0","Click to download SizeChart")</f>
      </c>
      <c r="C2330" s="0" t="inlineStr">
        <is>
          <t>Quinton Men's Golf Polo</t>
        </is>
      </c>
      <c r="D2330" s="1">
        <v>164274</v>
      </c>
      <c r="E2330" s="0" t="inlineStr">
        <is>
          <t>IOWA QUINTON M GD:164274E-2XL</t>
        </is>
      </c>
      <c r="F2330" s="2">
        <v>800164274084</v>
      </c>
      <c r="G2330" s="0" t="inlineStr">
        <is>
          <t>MENS</t>
        </is>
      </c>
      <c r="H2330" s="0" t="inlineStr">
        <is>
          <t>2XL</t>
        </is>
      </c>
      <c r="I2330" s="0">
        <v>41.99</v>
      </c>
      <c r="J2330" s="0">
        <v>45</v>
      </c>
    </row>
    <row r="2331" spans="1:10" customHeight="0">
      <c r="A2331" s="0">
        <f>HYPERLINK("https://dl.dropboxusercontent.com/scl/fi/4uhrx816rikqxnqvnh0w7/quinton.jpg?rlkey=ls82dkoh4s3rcq2cc9hb8vn9n&amp;dl=0","Click to download Image")</f>
      </c>
      <c r="B2331" s="0">
        <f>HYPERLINK("https://dl.dropboxusercontent.com/scl/fi/scrsbg68nex4oavqa9lud/mens-polo-size-chartsbrent.jpg?rlkey=rrmaqcvz1qokdp3n7krx6rxwh&amp;dl=0","Click to download SizeChart")</f>
      </c>
      <c r="C2331" s="0" t="inlineStr">
        <is>
          <t>Quinton Men's Golf Polo</t>
        </is>
      </c>
      <c r="D2331" s="1">
        <v>164274</v>
      </c>
      <c r="E2331" s="0" t="inlineStr">
        <is>
          <t>IOWA QUINTON M GD:164274F-3XL</t>
        </is>
      </c>
      <c r="F2331" s="2">
        <v>800164274091</v>
      </c>
      <c r="G2331" s="0" t="inlineStr">
        <is>
          <t>MENS</t>
        </is>
      </c>
      <c r="H2331" s="0" t="inlineStr">
        <is>
          <t>3XL</t>
        </is>
      </c>
      <c r="I2331" s="0">
        <v>41.99</v>
      </c>
      <c r="J2331" s="0">
        <v>21</v>
      </c>
    </row>
    <row r="2332" spans="1:10" customHeight="0">
      <c r="A2332" s="0">
        <f>HYPERLINK("https://dl.dropboxusercontent.com/scl/fi/nuk9eyvbw7znbhj5rou38/107242f.jpg?rlkey=fey2l99cepemewzybtaqob7a8&amp;dl=0","Click to download Image")</f>
      </c>
      <c r="B2332" s="0">
        <f>HYPERLINK("https://dl.dropboxusercontent.com/scl/fi/1qt3dbte45cazxkdu0btt/graphic-update22022-infant.jpg?rlkey=rhe7fp50xgcjllpgtta1r9oe1&amp;dl=0","Click to download SizeChart")</f>
      </c>
      <c r="C2332" s="0" t="inlineStr">
        <is>
          <t>Reno Infant Sweatshirt</t>
        </is>
      </c>
      <c r="D2332" s="1">
        <v>107242</v>
      </c>
      <c r="E2332" s="0" t="inlineStr">
        <is>
          <t>IA RENO:107242A-0-3M</t>
        </is>
      </c>
      <c r="F2332" s="2">
        <v>800107242019</v>
      </c>
      <c r="G2332" s="0" t="inlineStr">
        <is>
          <t>INFANT</t>
        </is>
      </c>
      <c r="H2332" s="0" t="inlineStr">
        <is>
          <t>0-3M</t>
        </is>
      </c>
      <c r="I2332" s="0">
        <v>24.99</v>
      </c>
      <c r="J2332" s="0">
        <v>5</v>
      </c>
    </row>
    <row r="2333" spans="1:10" customHeight="0">
      <c r="A2333" s="0">
        <f>HYPERLINK("https://dl.dropboxusercontent.com/scl/fi/nuk9eyvbw7znbhj5rou38/107242f.jpg?rlkey=fey2l99cepemewzybtaqob7a8&amp;dl=0","Click to download Image")</f>
      </c>
      <c r="B2333" s="0">
        <f>HYPERLINK("https://dl.dropboxusercontent.com/scl/fi/1qt3dbte45cazxkdu0btt/graphic-update22022-infant.jpg?rlkey=rhe7fp50xgcjllpgtta1r9oe1&amp;dl=0","Click to download SizeChart")</f>
      </c>
      <c r="C2333" s="0" t="inlineStr">
        <is>
          <t>Reno Infant Sweatshirt</t>
        </is>
      </c>
      <c r="D2333" s="1">
        <v>107242</v>
      </c>
      <c r="E2333" s="0" t="inlineStr">
        <is>
          <t>IA RENO:107242B-3-6M</t>
        </is>
      </c>
      <c r="F2333" s="2">
        <v>800107242026</v>
      </c>
      <c r="G2333" s="0" t="inlineStr">
        <is>
          <t>INFANT</t>
        </is>
      </c>
      <c r="H2333" s="0" t="inlineStr">
        <is>
          <t>3-6M</t>
        </is>
      </c>
      <c r="I2333" s="0">
        <v>24.99</v>
      </c>
      <c r="J2333" s="0">
        <v>2</v>
      </c>
    </row>
    <row r="2334" spans="1:10" customHeight="0">
      <c r="A2334" s="0">
        <f>HYPERLINK("https://dl.dropboxusercontent.com/scl/fi/nuk9eyvbw7znbhj5rou38/107242f.jpg?rlkey=fey2l99cepemewzybtaqob7a8&amp;dl=0","Click to download Image")</f>
      </c>
      <c r="B2334" s="0">
        <f>HYPERLINK("https://dl.dropboxusercontent.com/scl/fi/1qt3dbte45cazxkdu0btt/graphic-update22022-infant.jpg?rlkey=rhe7fp50xgcjllpgtta1r9oe1&amp;dl=0","Click to download SizeChart")</f>
      </c>
      <c r="C2334" s="0" t="inlineStr">
        <is>
          <t>Reno Infant Sweatshirt</t>
        </is>
      </c>
      <c r="D2334" s="1">
        <v>107242</v>
      </c>
      <c r="E2334" s="0" t="inlineStr">
        <is>
          <t>IA RENO:107242C-6-9M</t>
        </is>
      </c>
      <c r="F2334" s="2">
        <v>800107242033</v>
      </c>
      <c r="G2334" s="0" t="inlineStr">
        <is>
          <t>INFANT</t>
        </is>
      </c>
      <c r="H2334" s="0" t="inlineStr">
        <is>
          <t>6-9M</t>
        </is>
      </c>
      <c r="I2334" s="0">
        <v>24.99</v>
      </c>
      <c r="J2334" s="0">
        <v>0</v>
      </c>
    </row>
    <row r="2335" spans="1:10" customHeight="0">
      <c r="A2335" s="0">
        <f>HYPERLINK("https://dl.dropboxusercontent.com/scl/fi/nuk9eyvbw7znbhj5rou38/107242f.jpg?rlkey=fey2l99cepemewzybtaqob7a8&amp;dl=0","Click to download Image")</f>
      </c>
      <c r="B2335" s="0">
        <f>HYPERLINK("https://dl.dropboxusercontent.com/scl/fi/1qt3dbte45cazxkdu0btt/graphic-update22022-infant.jpg?rlkey=rhe7fp50xgcjllpgtta1r9oe1&amp;dl=0","Click to download SizeChart")</f>
      </c>
      <c r="C2335" s="0" t="inlineStr">
        <is>
          <t>Reno Infant Sweatshirt</t>
        </is>
      </c>
      <c r="D2335" s="1">
        <v>107242</v>
      </c>
      <c r="E2335" s="0" t="inlineStr">
        <is>
          <t>IA RENO:107242F-12M</t>
        </is>
      </c>
      <c r="F2335" s="2">
        <v>800107242040</v>
      </c>
      <c r="G2335" s="0" t="inlineStr">
        <is>
          <t>INFANT</t>
        </is>
      </c>
      <c r="H2335" s="0" t="inlineStr">
        <is>
          <t>12M</t>
        </is>
      </c>
      <c r="I2335" s="0">
        <v>24.99</v>
      </c>
      <c r="J2335" s="0">
        <v>0</v>
      </c>
    </row>
    <row r="2336" spans="1:10" customHeight="0">
      <c r="A2336" s="0">
        <f>HYPERLINK("https://dl.dropboxusercontent.com/scl/fi/k3a0r46orde4grgl1xgso/116530af96068.png?rlkey=o4nylik5tggm8ilm5u53x5hvi&amp;dl=0","Click to download Image")</f>
      </c>
      <c r="C2336" s="0" t="inlineStr">
        <is>
          <t>Ollie Heather Backpack</t>
        </is>
      </c>
      <c r="D2336" s="1">
        <v>116530</v>
      </c>
      <c r="E2336" s="0" t="inlineStr">
        <is>
          <t>IOWA OLLIE BACKPACK GREY:116530</t>
        </is>
      </c>
      <c r="F2336" s="2">
        <v>900116530012</v>
      </c>
      <c r="H2336" s="0" t="inlineStr">
        <is>
          <t>ONE SIZE</t>
        </is>
      </c>
      <c r="I2336" s="0">
        <v>49.99</v>
      </c>
      <c r="J2336" s="0">
        <v>57</v>
      </c>
    </row>
    <row r="2337" spans="1:10" customHeight="0">
      <c r="A2337" s="0">
        <f>HYPERLINK("https://dl.dropboxusercontent.com/scl/fi/p922x5kpzp8sfktpoa3xq/116235af75199.png?rlkey=0qiqv35gkibxhsm7xnavbmfwm&amp;dl=0","Click to download Image")</f>
      </c>
      <c r="C2337" s="0" t="inlineStr">
        <is>
          <t>Bolt Roll Up Tote</t>
        </is>
      </c>
      <c r="D2337" s="1">
        <v>116235</v>
      </c>
      <c r="E2337" s="0" t="inlineStr">
        <is>
          <t>IOWA BOLT TOTE:116235</t>
        </is>
      </c>
      <c r="F2337" s="2">
        <v>900116235016</v>
      </c>
      <c r="H2337" s="0" t="inlineStr">
        <is>
          <t>ONE SIZE</t>
        </is>
      </c>
      <c r="I2337" s="0">
        <v>49.99</v>
      </c>
      <c r="J2337" s="0">
        <v>32</v>
      </c>
    </row>
    <row r="2338" spans="1:10" customHeight="0">
      <c r="A2338" s="0">
        <f>HYPERLINK("https://dl.dropboxusercontent.com/scl/fi/4lqrwt8z7kjyw3kjwjusv/116530af98278.png?rlkey=br00p9groo2fdohqsnop62xct&amp;dl=0","Click to download Image")</f>
      </c>
      <c r="C2338" s="0" t="inlineStr">
        <is>
          <t>Eden Backpack</t>
        </is>
      </c>
      <c r="D2338" s="1">
        <v>116424</v>
      </c>
      <c r="E2338" s="0" t="inlineStr">
        <is>
          <t>IOWA EDEN BACKPACK GREY:116424</t>
        </is>
      </c>
      <c r="F2338" s="2">
        <v>900116424014</v>
      </c>
      <c r="H2338" s="0" t="inlineStr">
        <is>
          <t>ONE SIZE</t>
        </is>
      </c>
      <c r="I2338" s="0">
        <v>49.99</v>
      </c>
      <c r="J2338" s="0">
        <v>47</v>
      </c>
    </row>
    <row r="2339" spans="1:10" customHeight="0">
      <c r="A2339" s="0">
        <f>HYPERLINK("https://dl.dropboxusercontent.com/scl/fi/53vugo700ms7xlltrdfhj/corrinne-ia.jpg?rlkey=5tstqc87qdbfmbsarpillmjtu&amp;dl=0","Click to download Image")</f>
      </c>
      <c r="B2339" s="0">
        <f>HYPERLINK("https://dl.dropboxusercontent.com/scl/fi/o37z9v256gi3tulpdzv17/womens-size-chartscorrine.jpg?rlkey=94xmh82wrkdymgvqx3mm4puua&amp;dl=0","Click to download SizeChart")</f>
      </c>
      <c r="C2339" s="0" t="inlineStr">
        <is>
          <t>Corrine Women's Waffle Cardigan</t>
        </is>
      </c>
      <c r="D2339" s="1">
        <v>115491</v>
      </c>
      <c r="E2339" s="0" t="inlineStr">
        <is>
          <t>IOWA CORRINE W BLACK:115491A-S</t>
        </is>
      </c>
      <c r="F2339" s="2">
        <v>800115491041</v>
      </c>
      <c r="G2339" s="0" t="inlineStr">
        <is>
          <t>WOMENS</t>
        </is>
      </c>
      <c r="H2339" s="0" t="inlineStr">
        <is>
          <t>S</t>
        </is>
      </c>
      <c r="I2339" s="0">
        <v>49.99</v>
      </c>
      <c r="J2339" s="0">
        <v>5</v>
      </c>
    </row>
    <row r="2340" spans="1:10" customHeight="0">
      <c r="A2340" s="0">
        <f>HYPERLINK("https://dl.dropboxusercontent.com/scl/fi/53vugo700ms7xlltrdfhj/corrinne-ia.jpg?rlkey=5tstqc87qdbfmbsarpillmjtu&amp;dl=0","Click to download Image")</f>
      </c>
      <c r="B2340" s="0">
        <f>HYPERLINK("https://dl.dropboxusercontent.com/scl/fi/o37z9v256gi3tulpdzv17/womens-size-chartscorrine.jpg?rlkey=94xmh82wrkdymgvqx3mm4puua&amp;dl=0","Click to download SizeChart")</f>
      </c>
      <c r="C2340" s="0" t="inlineStr">
        <is>
          <t>Corrine Women's Waffle Cardigan</t>
        </is>
      </c>
      <c r="D2340" s="1">
        <v>115491</v>
      </c>
      <c r="E2340" s="0" t="inlineStr">
        <is>
          <t>IOWA CORRINE W BLACK:115491B-M</t>
        </is>
      </c>
      <c r="F2340" s="2">
        <v>800115491058</v>
      </c>
      <c r="G2340" s="0" t="inlineStr">
        <is>
          <t>WOMENS</t>
        </is>
      </c>
      <c r="H2340" s="0" t="inlineStr">
        <is>
          <t>M</t>
        </is>
      </c>
      <c r="I2340" s="0">
        <v>49.99</v>
      </c>
      <c r="J2340" s="0">
        <v>12</v>
      </c>
    </row>
    <row r="2341" spans="1:10" customHeight="0">
      <c r="A2341" s="0">
        <f>HYPERLINK("https://dl.dropboxusercontent.com/scl/fi/53vugo700ms7xlltrdfhj/corrinne-ia.jpg?rlkey=5tstqc87qdbfmbsarpillmjtu&amp;dl=0","Click to download Image")</f>
      </c>
      <c r="B2341" s="0">
        <f>HYPERLINK("https://dl.dropboxusercontent.com/scl/fi/o37z9v256gi3tulpdzv17/womens-size-chartscorrine.jpg?rlkey=94xmh82wrkdymgvqx3mm4puua&amp;dl=0","Click to download SizeChart")</f>
      </c>
      <c r="C2341" s="0" t="inlineStr">
        <is>
          <t>Corrine Women's Waffle Cardigan</t>
        </is>
      </c>
      <c r="D2341" s="1">
        <v>115491</v>
      </c>
      <c r="E2341" s="0" t="inlineStr">
        <is>
          <t>IOWA CORRINE W BLACK:115491C-L</t>
        </is>
      </c>
      <c r="F2341" s="2">
        <v>800115491065</v>
      </c>
      <c r="G2341" s="0" t="inlineStr">
        <is>
          <t>WOMENS</t>
        </is>
      </c>
      <c r="H2341" s="0" t="inlineStr">
        <is>
          <t>L</t>
        </is>
      </c>
      <c r="I2341" s="0">
        <v>49.99</v>
      </c>
      <c r="J2341" s="0">
        <v>14</v>
      </c>
    </row>
    <row r="2342" spans="1:10" customHeight="0">
      <c r="A2342" s="0">
        <f>HYPERLINK("https://dl.dropboxusercontent.com/scl/fi/53vugo700ms7xlltrdfhj/corrinne-ia.jpg?rlkey=5tstqc87qdbfmbsarpillmjtu&amp;dl=0","Click to download Image")</f>
      </c>
      <c r="B2342" s="0">
        <f>HYPERLINK("https://dl.dropboxusercontent.com/scl/fi/o37z9v256gi3tulpdzv17/womens-size-chartscorrine.jpg?rlkey=94xmh82wrkdymgvqx3mm4puua&amp;dl=0","Click to download SizeChart")</f>
      </c>
      <c r="C2342" s="0" t="inlineStr">
        <is>
          <t>Corrine Women's Waffle Cardigan</t>
        </is>
      </c>
      <c r="D2342" s="1">
        <v>115491</v>
      </c>
      <c r="E2342" s="0" t="inlineStr">
        <is>
          <t>IOWA CORRINE W BLACK:115491D-XL</t>
        </is>
      </c>
      <c r="F2342" s="2">
        <v>800115491072</v>
      </c>
      <c r="G2342" s="0" t="inlineStr">
        <is>
          <t>WOMENS</t>
        </is>
      </c>
      <c r="H2342" s="0" t="inlineStr">
        <is>
          <t>XL</t>
        </is>
      </c>
      <c r="I2342" s="0">
        <v>49.99</v>
      </c>
      <c r="J2342" s="0">
        <v>4</v>
      </c>
    </row>
    <row r="2343" spans="1:10" customHeight="0">
      <c r="A2343" s="0">
        <f>HYPERLINK("https://dl.dropboxusercontent.com/scl/fi/53vugo700ms7xlltrdfhj/corrinne-ia.jpg?rlkey=5tstqc87qdbfmbsarpillmjtu&amp;dl=0","Click to download Image")</f>
      </c>
      <c r="B2343" s="0">
        <f>HYPERLINK("https://dl.dropboxusercontent.com/scl/fi/o37z9v256gi3tulpdzv17/womens-size-chartscorrine.jpg?rlkey=94xmh82wrkdymgvqx3mm4puua&amp;dl=0","Click to download SizeChart")</f>
      </c>
      <c r="C2343" s="0" t="inlineStr">
        <is>
          <t>Corrine Women's Waffle Cardigan</t>
        </is>
      </c>
      <c r="D2343" s="1">
        <v>115491</v>
      </c>
      <c r="E2343" s="0" t="inlineStr">
        <is>
          <t>IOWA CORRINE W BLACK:115491E-2XL</t>
        </is>
      </c>
      <c r="F2343" s="2">
        <v>800115491089</v>
      </c>
      <c r="G2343" s="0" t="inlineStr">
        <is>
          <t>WOMENS</t>
        </is>
      </c>
      <c r="H2343" s="0" t="inlineStr">
        <is>
          <t>2XL</t>
        </is>
      </c>
      <c r="I2343" s="0">
        <v>51.99</v>
      </c>
      <c r="J2343" s="0">
        <v>0</v>
      </c>
    </row>
    <row r="2344" spans="1:10" customHeight="0">
      <c r="A2344" s="0">
        <f>HYPERLINK("https://dl.dropboxusercontent.com/scl/fi/53vugo700ms7xlltrdfhj/corrinne-ia.jpg?rlkey=5tstqc87qdbfmbsarpillmjtu&amp;dl=0","Click to download Image")</f>
      </c>
      <c r="B2344" s="0">
        <f>HYPERLINK("https://dl.dropboxusercontent.com/scl/fi/o37z9v256gi3tulpdzv17/womens-size-chartscorrine.jpg?rlkey=94xmh82wrkdymgvqx3mm4puua&amp;dl=0","Click to download SizeChart")</f>
      </c>
      <c r="C2344" s="0" t="inlineStr">
        <is>
          <t>Corrine Women's Waffle Cardigan</t>
        </is>
      </c>
      <c r="D2344" s="1">
        <v>115491</v>
      </c>
      <c r="E2344" s="0" t="inlineStr">
        <is>
          <t>IOWA CORRINE W BLACK:115491F-3XL</t>
        </is>
      </c>
      <c r="F2344" s="2">
        <v>800115491096</v>
      </c>
      <c r="G2344" s="0" t="inlineStr">
        <is>
          <t>WOMENS</t>
        </is>
      </c>
      <c r="H2344" s="0" t="inlineStr">
        <is>
          <t>3XL</t>
        </is>
      </c>
      <c r="I2344" s="0">
        <v>51.99</v>
      </c>
      <c r="J2344" s="0">
        <v>0</v>
      </c>
    </row>
    <row r="2345" spans="1:10" customHeight="0">
      <c r="A2345" s="0">
        <f>HYPERLINK("https://dl.dropboxusercontent.com/scl/fi/53vugo700ms7xlltrdfhj/corrinne-ia.jpg?rlkey=5tstqc87qdbfmbsarpillmjtu&amp;dl=0","Click to download Image")</f>
      </c>
      <c r="B2345" s="0">
        <f>HYPERLINK("https://dl.dropboxusercontent.com/scl/fi/o37z9v256gi3tulpdzv17/womens-size-chartscorrine.jpg?rlkey=94xmh82wrkdymgvqx3mm4puua&amp;dl=0","Click to download SizeChart")</f>
      </c>
      <c r="C2345" s="0" t="inlineStr">
        <is>
          <t>Corrine Women's Waffle Cardigan</t>
        </is>
      </c>
      <c r="D2345" s="1">
        <v>115491</v>
      </c>
      <c r="E2345" s="0" t="inlineStr">
        <is>
          <t>IOWA CORRINE W BLACK 12 PACK:115491Z-12PK</t>
        </is>
      </c>
      <c r="F2345" s="2">
        <v>800115491997</v>
      </c>
      <c r="G2345" s="0" t="inlineStr">
        <is>
          <t>WOMENS</t>
        </is>
      </c>
      <c r="H2345" s="0" t="inlineStr">
        <is>
          <t>12 PACK</t>
        </is>
      </c>
      <c r="I2345" s="0">
        <v>479.76</v>
      </c>
      <c r="J2345" s="0">
        <v>0</v>
      </c>
    </row>
    <row r="2346" spans="1:10" customHeight="0">
      <c r="A2346" s="0">
        <f>HYPERLINK("https://dl.dropboxusercontent.com/scl/fi/7i7ozxbgf7whrvs61vdhn/109593f01025.jpg?rlkey=tgs40z3yaja20cqxjile9re1i&amp;dl=0","Click to download Image")</f>
      </c>
      <c r="B2346" s="0">
        <f>HYPERLINK("https://dl.dropboxusercontent.com/scl/fi/j0kuo1eyt43vm3k9kytiu/womens-t-shirt-size-chartstanya.jpg?rlkey=ismkdrnc5vrwhwb0ckrwgl4by&amp;dl=0","Click to download SizeChart")</f>
      </c>
      <c r="C2346" s="0" t="inlineStr">
        <is>
          <t>Tanya Women's Lace Short Sleeve Shirt</t>
        </is>
      </c>
      <c r="D2346" s="1">
        <v>109593</v>
      </c>
      <c r="E2346" s="0" t="inlineStr">
        <is>
          <t>IOWA TANYA BLACK:109593A-S</t>
        </is>
      </c>
      <c r="F2346" s="2">
        <v>800109593010</v>
      </c>
      <c r="G2346" s="0" t="inlineStr">
        <is>
          <t>WOMENS</t>
        </is>
      </c>
      <c r="H2346" s="0" t="inlineStr">
        <is>
          <t>S</t>
        </is>
      </c>
      <c r="I2346" s="0">
        <v>34.99</v>
      </c>
      <c r="J2346" s="0">
        <v>22</v>
      </c>
    </row>
    <row r="2347" spans="1:10" customHeight="0">
      <c r="A2347" s="0">
        <f>HYPERLINK("https://dl.dropboxusercontent.com/scl/fi/7i7ozxbgf7whrvs61vdhn/109593f01025.jpg?rlkey=tgs40z3yaja20cqxjile9re1i&amp;dl=0","Click to download Image")</f>
      </c>
      <c r="B2347" s="0">
        <f>HYPERLINK("https://dl.dropboxusercontent.com/scl/fi/j0kuo1eyt43vm3k9kytiu/womens-t-shirt-size-chartstanya.jpg?rlkey=ismkdrnc5vrwhwb0ckrwgl4by&amp;dl=0","Click to download SizeChart")</f>
      </c>
      <c r="C2347" s="0" t="inlineStr">
        <is>
          <t>Tanya Women's Lace Short Sleeve Shirt</t>
        </is>
      </c>
      <c r="D2347" s="1">
        <v>109593</v>
      </c>
      <c r="E2347" s="0" t="inlineStr">
        <is>
          <t>IOWA TANYA BLACK:109593B-M</t>
        </is>
      </c>
      <c r="F2347" s="2">
        <v>800109593027</v>
      </c>
      <c r="G2347" s="0" t="inlineStr">
        <is>
          <t>WOMENS</t>
        </is>
      </c>
      <c r="H2347" s="0" t="inlineStr">
        <is>
          <t>M</t>
        </is>
      </c>
      <c r="I2347" s="0">
        <v>34.99</v>
      </c>
      <c r="J2347" s="0">
        <v>45</v>
      </c>
    </row>
    <row r="2348" spans="1:10" customHeight="0">
      <c r="A2348" s="0">
        <f>HYPERLINK("https://dl.dropboxusercontent.com/scl/fi/7i7ozxbgf7whrvs61vdhn/109593f01025.jpg?rlkey=tgs40z3yaja20cqxjile9re1i&amp;dl=0","Click to download Image")</f>
      </c>
      <c r="B2348" s="0">
        <f>HYPERLINK("https://dl.dropboxusercontent.com/scl/fi/j0kuo1eyt43vm3k9kytiu/womens-t-shirt-size-chartstanya.jpg?rlkey=ismkdrnc5vrwhwb0ckrwgl4by&amp;dl=0","Click to download SizeChart")</f>
      </c>
      <c r="C2348" s="0" t="inlineStr">
        <is>
          <t>Tanya Women's Lace Short Sleeve Shirt</t>
        </is>
      </c>
      <c r="D2348" s="1">
        <v>109593</v>
      </c>
      <c r="E2348" s="0" t="inlineStr">
        <is>
          <t>IOWA TANYA BLACK:109593C-L</t>
        </is>
      </c>
      <c r="F2348" s="2">
        <v>800109593034</v>
      </c>
      <c r="G2348" s="0" t="inlineStr">
        <is>
          <t>WOMENS</t>
        </is>
      </c>
      <c r="H2348" s="0" t="inlineStr">
        <is>
          <t>L</t>
        </is>
      </c>
      <c r="I2348" s="0">
        <v>34.99</v>
      </c>
      <c r="J2348" s="0">
        <v>42</v>
      </c>
    </row>
    <row r="2349" spans="1:10" customHeight="0">
      <c r="A2349" s="0">
        <f>HYPERLINK("https://dl.dropboxusercontent.com/scl/fi/7i7ozxbgf7whrvs61vdhn/109593f01025.jpg?rlkey=tgs40z3yaja20cqxjile9re1i&amp;dl=0","Click to download Image")</f>
      </c>
      <c r="B2349" s="0">
        <f>HYPERLINK("https://dl.dropboxusercontent.com/scl/fi/j0kuo1eyt43vm3k9kytiu/womens-t-shirt-size-chartstanya.jpg?rlkey=ismkdrnc5vrwhwb0ckrwgl4by&amp;dl=0","Click to download SizeChart")</f>
      </c>
      <c r="C2349" s="0" t="inlineStr">
        <is>
          <t>Tanya Women's Lace Short Sleeve Shirt</t>
        </is>
      </c>
      <c r="D2349" s="1">
        <v>109593</v>
      </c>
      <c r="E2349" s="0" t="inlineStr">
        <is>
          <t>IOWA TANYA BLACK:109593D-XL</t>
        </is>
      </c>
      <c r="F2349" s="2">
        <v>800109593041</v>
      </c>
      <c r="G2349" s="0" t="inlineStr">
        <is>
          <t>WOMENS</t>
        </is>
      </c>
      <c r="H2349" s="0" t="inlineStr">
        <is>
          <t>XL</t>
        </is>
      </c>
      <c r="I2349" s="0">
        <v>34.99</v>
      </c>
      <c r="J2349" s="0">
        <v>20</v>
      </c>
    </row>
    <row r="2350" spans="1:10" customHeight="0">
      <c r="A2350" s="0">
        <f>HYPERLINK("https://dl.dropboxusercontent.com/scl/fi/7i7ozxbgf7whrvs61vdhn/109593f01025.jpg?rlkey=tgs40z3yaja20cqxjile9re1i&amp;dl=0","Click to download Image")</f>
      </c>
      <c r="B2350" s="0">
        <f>HYPERLINK("https://dl.dropboxusercontent.com/scl/fi/j0kuo1eyt43vm3k9kytiu/womens-t-shirt-size-chartstanya.jpg?rlkey=ismkdrnc5vrwhwb0ckrwgl4by&amp;dl=0","Click to download SizeChart")</f>
      </c>
      <c r="C2350" s="0" t="inlineStr">
        <is>
          <t>Tanya Women's Lace Short Sleeve Shirt</t>
        </is>
      </c>
      <c r="D2350" s="1">
        <v>109593</v>
      </c>
      <c r="E2350" s="0" t="inlineStr">
        <is>
          <t>IOWA TANYA BLACK:109593E-2XL</t>
        </is>
      </c>
      <c r="F2350" s="2">
        <v>800109593058</v>
      </c>
      <c r="G2350" s="0" t="inlineStr">
        <is>
          <t>WOMENS</t>
        </is>
      </c>
      <c r="H2350" s="0" t="inlineStr">
        <is>
          <t>2XL</t>
        </is>
      </c>
      <c r="I2350" s="0">
        <v>36.99</v>
      </c>
      <c r="J2350" s="0">
        <v>10</v>
      </c>
    </row>
    <row r="2351" spans="1:10" customHeight="0">
      <c r="A2351" s="0">
        <f>HYPERLINK("https://dl.dropboxusercontent.com/scl/fi/7i7ozxbgf7whrvs61vdhn/109593f01025.jpg?rlkey=tgs40z3yaja20cqxjile9re1i&amp;dl=0","Click to download Image")</f>
      </c>
      <c r="B2351" s="0">
        <f>HYPERLINK("https://dl.dropboxusercontent.com/scl/fi/j0kuo1eyt43vm3k9kytiu/womens-t-shirt-size-chartstanya.jpg?rlkey=ismkdrnc5vrwhwb0ckrwgl4by&amp;dl=0","Click to download SizeChart")</f>
      </c>
      <c r="C2351" s="0" t="inlineStr">
        <is>
          <t>Tanya Women's Lace Short Sleeve Shirt</t>
        </is>
      </c>
      <c r="D2351" s="1">
        <v>109593</v>
      </c>
      <c r="E2351" s="0" t="inlineStr">
        <is>
          <t>IOWA TANYA BLACK:109593F-3XL</t>
        </is>
      </c>
      <c r="F2351" s="2">
        <v>800109593065</v>
      </c>
      <c r="G2351" s="0" t="inlineStr">
        <is>
          <t>WOMENS</t>
        </is>
      </c>
      <c r="H2351" s="0" t="inlineStr">
        <is>
          <t>3XL</t>
        </is>
      </c>
      <c r="I2351" s="0">
        <v>36.99</v>
      </c>
      <c r="J2351" s="0">
        <v>5</v>
      </c>
    </row>
    <row r="2352" spans="1:10" customHeight="0">
      <c r="A2352" s="0">
        <f>HYPERLINK("https://dl.dropboxusercontent.com/scl/fi/7i7ozxbgf7whrvs61vdhn/109593f01025.jpg?rlkey=tgs40z3yaja20cqxjile9re1i&amp;dl=0","Click to download Image")</f>
      </c>
      <c r="B2352" s="0">
        <f>HYPERLINK("https://dl.dropboxusercontent.com/scl/fi/j0kuo1eyt43vm3k9kytiu/womens-t-shirt-size-chartstanya.jpg?rlkey=ismkdrnc5vrwhwb0ckrwgl4by&amp;dl=0","Click to download SizeChart")</f>
      </c>
      <c r="C2352" s="0" t="inlineStr">
        <is>
          <t>Tanya Women's Lace Short Sleeve Shirt</t>
        </is>
      </c>
      <c r="D2352" s="1">
        <v>109593</v>
      </c>
      <c r="E2352" s="0" t="inlineStr">
        <is>
          <t>IOWA TANYA BLACK 12 PACK:109593Z-12PK</t>
        </is>
      </c>
      <c r="F2352" s="2">
        <v>800109593997</v>
      </c>
      <c r="G2352" s="0" t="inlineStr">
        <is>
          <t>WOMENS</t>
        </is>
      </c>
      <c r="H2352" s="0" t="inlineStr">
        <is>
          <t>12 PACK</t>
        </is>
      </c>
      <c r="I2352" s="0">
        <v>395.88</v>
      </c>
      <c r="J2352" s="0">
        <v>0</v>
      </c>
    </row>
    <row r="2353" spans="1:10" customHeight="0">
      <c r="A2353" s="0">
        <f>HYPERLINK("https://dl.dropboxusercontent.com/scl/fi/6jkdixx85end1f9uz10h7/111467af92082.png?rlkey=427box3bsbj4pdr9u2dcz5upb&amp;dl=0","Click to download Image")</f>
      </c>
      <c r="B2353" s="0">
        <f>HYPERLINK("https://dl.dropboxusercontent.com/scl/fi/j0kuo1eyt43vm3k9kytiu/womens-t-shirt-size-chartstanya.jpg?rlkey=ismkdrnc5vrwhwb0ckrwgl4by&amp;dl=0","Click to download SizeChart")</f>
      </c>
      <c r="C2353" s="0" t="inlineStr">
        <is>
          <t>Tanya Women's Lace Short Sleeve Shirt</t>
        </is>
      </c>
      <c r="D2353" s="1">
        <v>111467</v>
      </c>
      <c r="E2353" s="0" t="inlineStr">
        <is>
          <t>IOWA TANYA GOLD:111467A-S</t>
        </is>
      </c>
      <c r="F2353" s="2">
        <v>800111467040</v>
      </c>
      <c r="G2353" s="0" t="inlineStr">
        <is>
          <t>WOMENS</t>
        </is>
      </c>
      <c r="H2353" s="0" t="inlineStr">
        <is>
          <t>S</t>
        </is>
      </c>
      <c r="I2353" s="0">
        <v>34.99</v>
      </c>
      <c r="J2353" s="0">
        <v>22</v>
      </c>
    </row>
    <row r="2354" spans="1:10" customHeight="0">
      <c r="A2354" s="0">
        <f>HYPERLINK("https://dl.dropboxusercontent.com/scl/fi/6jkdixx85end1f9uz10h7/111467af92082.png?rlkey=427box3bsbj4pdr9u2dcz5upb&amp;dl=0","Click to download Image")</f>
      </c>
      <c r="B2354" s="0">
        <f>HYPERLINK("https://dl.dropboxusercontent.com/scl/fi/j0kuo1eyt43vm3k9kytiu/womens-t-shirt-size-chartstanya.jpg?rlkey=ismkdrnc5vrwhwb0ckrwgl4by&amp;dl=0","Click to download SizeChart")</f>
      </c>
      <c r="C2354" s="0" t="inlineStr">
        <is>
          <t>Tanya Women's Lace Short Sleeve Shirt</t>
        </is>
      </c>
      <c r="D2354" s="1">
        <v>111467</v>
      </c>
      <c r="E2354" s="0" t="inlineStr">
        <is>
          <t>IOWA TANYA GOLD:111467B-M</t>
        </is>
      </c>
      <c r="F2354" s="2">
        <v>800111467057</v>
      </c>
      <c r="G2354" s="0" t="inlineStr">
        <is>
          <t>WOMENS</t>
        </is>
      </c>
      <c r="H2354" s="0" t="inlineStr">
        <is>
          <t>M</t>
        </is>
      </c>
      <c r="I2354" s="0">
        <v>34.99</v>
      </c>
      <c r="J2354" s="0">
        <v>45</v>
      </c>
    </row>
    <row r="2355" spans="1:10" customHeight="0">
      <c r="A2355" s="0">
        <f>HYPERLINK("https://dl.dropboxusercontent.com/scl/fi/6jkdixx85end1f9uz10h7/111467af92082.png?rlkey=427box3bsbj4pdr9u2dcz5upb&amp;dl=0","Click to download Image")</f>
      </c>
      <c r="B2355" s="0">
        <f>HYPERLINK("https://dl.dropboxusercontent.com/scl/fi/j0kuo1eyt43vm3k9kytiu/womens-t-shirt-size-chartstanya.jpg?rlkey=ismkdrnc5vrwhwb0ckrwgl4by&amp;dl=0","Click to download SizeChart")</f>
      </c>
      <c r="C2355" s="0" t="inlineStr">
        <is>
          <t>Tanya Women's Lace Short Sleeve Shirt</t>
        </is>
      </c>
      <c r="D2355" s="1">
        <v>111467</v>
      </c>
      <c r="E2355" s="0" t="inlineStr">
        <is>
          <t>IOWA TANYA GOLD:111467C-L</t>
        </is>
      </c>
      <c r="F2355" s="2">
        <v>800111467064</v>
      </c>
      <c r="G2355" s="0" t="inlineStr">
        <is>
          <t>WOMENS</t>
        </is>
      </c>
      <c r="H2355" s="0" t="inlineStr">
        <is>
          <t>L</t>
        </is>
      </c>
      <c r="I2355" s="0">
        <v>34.99</v>
      </c>
      <c r="J2355" s="0">
        <v>44</v>
      </c>
    </row>
    <row r="2356" spans="1:10" customHeight="0">
      <c r="A2356" s="0">
        <f>HYPERLINK("https://dl.dropboxusercontent.com/scl/fi/6jkdixx85end1f9uz10h7/111467af92082.png?rlkey=427box3bsbj4pdr9u2dcz5upb&amp;dl=0","Click to download Image")</f>
      </c>
      <c r="B2356" s="0">
        <f>HYPERLINK("https://dl.dropboxusercontent.com/scl/fi/j0kuo1eyt43vm3k9kytiu/womens-t-shirt-size-chartstanya.jpg?rlkey=ismkdrnc5vrwhwb0ckrwgl4by&amp;dl=0","Click to download SizeChart")</f>
      </c>
      <c r="C2356" s="0" t="inlineStr">
        <is>
          <t>Tanya Women's Lace Short Sleeve Shirt</t>
        </is>
      </c>
      <c r="D2356" s="1">
        <v>111467</v>
      </c>
      <c r="E2356" s="0" t="inlineStr">
        <is>
          <t>IOWA TANYA GOLD:111467D-XL</t>
        </is>
      </c>
      <c r="F2356" s="2">
        <v>800111467071</v>
      </c>
      <c r="G2356" s="0" t="inlineStr">
        <is>
          <t>WOMENS</t>
        </is>
      </c>
      <c r="H2356" s="0" t="inlineStr">
        <is>
          <t>XL</t>
        </is>
      </c>
      <c r="I2356" s="0">
        <v>34.99</v>
      </c>
      <c r="J2356" s="0">
        <v>20</v>
      </c>
    </row>
    <row r="2357" spans="1:10" customHeight="0">
      <c r="A2357" s="0">
        <f>HYPERLINK("https://dl.dropboxusercontent.com/scl/fi/6jkdixx85end1f9uz10h7/111467af92082.png?rlkey=427box3bsbj4pdr9u2dcz5upb&amp;dl=0","Click to download Image")</f>
      </c>
      <c r="B2357" s="0">
        <f>HYPERLINK("https://dl.dropboxusercontent.com/scl/fi/j0kuo1eyt43vm3k9kytiu/womens-t-shirt-size-chartstanya.jpg?rlkey=ismkdrnc5vrwhwb0ckrwgl4by&amp;dl=0","Click to download SizeChart")</f>
      </c>
      <c r="C2357" s="0" t="inlineStr">
        <is>
          <t>Tanya Women's Lace Short Sleeve Shirt</t>
        </is>
      </c>
      <c r="D2357" s="1">
        <v>111467</v>
      </c>
      <c r="E2357" s="0" t="inlineStr">
        <is>
          <t>IOWA TANYA GOLD:111467E-2XL</t>
        </is>
      </c>
      <c r="F2357" s="2">
        <v>800111467088</v>
      </c>
      <c r="G2357" s="0" t="inlineStr">
        <is>
          <t>WOMENS</t>
        </is>
      </c>
      <c r="H2357" s="0" t="inlineStr">
        <is>
          <t>2XL</t>
        </is>
      </c>
      <c r="I2357" s="0">
        <v>36.99</v>
      </c>
      <c r="J2357" s="0">
        <v>11</v>
      </c>
    </row>
    <row r="2358" spans="1:10" customHeight="0">
      <c r="A2358" s="0">
        <f>HYPERLINK("https://dl.dropboxusercontent.com/scl/fi/6jkdixx85end1f9uz10h7/111467af92082.png?rlkey=427box3bsbj4pdr9u2dcz5upb&amp;dl=0","Click to download Image")</f>
      </c>
      <c r="B2358" s="0">
        <f>HYPERLINK("https://dl.dropboxusercontent.com/scl/fi/j0kuo1eyt43vm3k9kytiu/womens-t-shirt-size-chartstanya.jpg?rlkey=ismkdrnc5vrwhwb0ckrwgl4by&amp;dl=0","Click to download SizeChart")</f>
      </c>
      <c r="C2358" s="0" t="inlineStr">
        <is>
          <t>Tanya Women's Lace Short Sleeve Shirt</t>
        </is>
      </c>
      <c r="D2358" s="1">
        <v>111467</v>
      </c>
      <c r="E2358" s="0" t="inlineStr">
        <is>
          <t>IOWA TANYA GOLD:111467F-3XL</t>
        </is>
      </c>
      <c r="F2358" s="2">
        <v>800111467095</v>
      </c>
      <c r="G2358" s="0" t="inlineStr">
        <is>
          <t>WOMENS</t>
        </is>
      </c>
      <c r="H2358" s="0" t="inlineStr">
        <is>
          <t>3XL</t>
        </is>
      </c>
      <c r="I2358" s="0">
        <v>36.99</v>
      </c>
      <c r="J2358" s="0">
        <v>6</v>
      </c>
    </row>
    <row r="2359" spans="1:10" customHeight="0">
      <c r="A2359" s="0">
        <f>HYPERLINK("https://dl.dropboxusercontent.com/scl/fi/6jkdixx85end1f9uz10h7/111467af92082.png?rlkey=427box3bsbj4pdr9u2dcz5upb&amp;dl=0","Click to download Image")</f>
      </c>
      <c r="B2359" s="0">
        <f>HYPERLINK("https://dl.dropboxusercontent.com/scl/fi/j0kuo1eyt43vm3k9kytiu/womens-t-shirt-size-chartstanya.jpg?rlkey=ismkdrnc5vrwhwb0ckrwgl4by&amp;dl=0","Click to download SizeChart")</f>
      </c>
      <c r="C2359" s="0" t="inlineStr">
        <is>
          <t>Tanya Women's Lace Short Sleeve Shirt</t>
        </is>
      </c>
      <c r="D2359" s="1">
        <v>111467</v>
      </c>
      <c r="E2359" s="0" t="inlineStr">
        <is>
          <t>IOWA TANYA GOLD 12 PACK:111467Z-12PK</t>
        </is>
      </c>
      <c r="F2359" s="2">
        <v>800111467996</v>
      </c>
      <c r="G2359" s="0" t="inlineStr">
        <is>
          <t>WOMENS</t>
        </is>
      </c>
      <c r="H2359" s="0" t="inlineStr">
        <is>
          <t>12 PACK</t>
        </is>
      </c>
      <c r="I2359" s="0">
        <v>395.88</v>
      </c>
      <c r="J2359" s="0">
        <v>0</v>
      </c>
    </row>
    <row r="2360" spans="1:10" customHeight="0">
      <c r="A2360" s="0">
        <f>HYPERLINK("https://dl.dropboxusercontent.com/scl/fi/mrjcl6flbcf3cpga6017n/111717-af.jpg?rlkey=sjyq18069lgfukx4fadcptn0q&amp;dl=0","Click to download Image")</f>
      </c>
      <c r="B2360" s="0">
        <f>HYPERLINK("https://dl.dropboxusercontent.com/scl/fi/8333bmybqm9psw1thgpup/8-19womens-sports-bra.jpg?rlkey=5m826e9czfvnp23teav7ph299&amp;dl=0","Click to download SizeChart")</f>
      </c>
      <c r="C2360" s="0" t="inlineStr">
        <is>
          <t>Sun Women's Criss-Cross Sports Bra</t>
        </is>
      </c>
      <c r="D2360" s="1">
        <v>111717</v>
      </c>
      <c r="E2360" s="0" t="inlineStr">
        <is>
          <t>IOWA SUN SPORT BRA BLACK:111717AA-XS</t>
        </is>
      </c>
      <c r="F2360" s="2">
        <v>800111717039</v>
      </c>
      <c r="G2360" s="0" t="inlineStr">
        <is>
          <t>WOMENS</t>
        </is>
      </c>
      <c r="H2360" s="0" t="inlineStr">
        <is>
          <t>XS</t>
        </is>
      </c>
      <c r="I2360" s="0">
        <v>29.99</v>
      </c>
      <c r="J2360" s="0">
        <v>17</v>
      </c>
    </row>
    <row r="2361" spans="1:10" customHeight="0">
      <c r="A2361" s="0">
        <f>HYPERLINK("https://dl.dropboxusercontent.com/scl/fi/mrjcl6flbcf3cpga6017n/111717-af.jpg?rlkey=sjyq18069lgfukx4fadcptn0q&amp;dl=0","Click to download Image")</f>
      </c>
      <c r="B2361" s="0">
        <f>HYPERLINK("https://dl.dropboxusercontent.com/scl/fi/8333bmybqm9psw1thgpup/8-19womens-sports-bra.jpg?rlkey=5m826e9czfvnp23teav7ph299&amp;dl=0","Click to download SizeChart")</f>
      </c>
      <c r="C2361" s="0" t="inlineStr">
        <is>
          <t>Sun Women's Criss-Cross Sports Bra</t>
        </is>
      </c>
      <c r="D2361" s="1">
        <v>111717</v>
      </c>
      <c r="E2361" s="0" t="inlineStr">
        <is>
          <t>IOWA SUN SPORT BRA BLACK:111717A-S</t>
        </is>
      </c>
      <c r="F2361" s="2">
        <v>800111717046</v>
      </c>
      <c r="G2361" s="0" t="inlineStr">
        <is>
          <t>WOMENS</t>
        </is>
      </c>
      <c r="H2361" s="0" t="inlineStr">
        <is>
          <t>S</t>
        </is>
      </c>
      <c r="I2361" s="0">
        <v>29.99</v>
      </c>
      <c r="J2361" s="0">
        <v>10</v>
      </c>
    </row>
    <row r="2362" spans="1:10" customHeight="0">
      <c r="A2362" s="0">
        <f>HYPERLINK("https://dl.dropboxusercontent.com/scl/fi/mrjcl6flbcf3cpga6017n/111717-af.jpg?rlkey=sjyq18069lgfukx4fadcptn0q&amp;dl=0","Click to download Image")</f>
      </c>
      <c r="B2362" s="0">
        <f>HYPERLINK("https://dl.dropboxusercontent.com/scl/fi/8333bmybqm9psw1thgpup/8-19womens-sports-bra.jpg?rlkey=5m826e9czfvnp23teav7ph299&amp;dl=0","Click to download SizeChart")</f>
      </c>
      <c r="C2362" s="0" t="inlineStr">
        <is>
          <t>Sun Women's Criss-Cross Sports Bra</t>
        </is>
      </c>
      <c r="D2362" s="1">
        <v>111717</v>
      </c>
      <c r="E2362" s="0" t="inlineStr">
        <is>
          <t>IOWA SUN SPORT BRA BLACK:111717B-M</t>
        </is>
      </c>
      <c r="F2362" s="2">
        <v>800111717053</v>
      </c>
      <c r="G2362" s="0" t="inlineStr">
        <is>
          <t>WOMENS</t>
        </is>
      </c>
      <c r="H2362" s="0" t="inlineStr">
        <is>
          <t>M</t>
        </is>
      </c>
      <c r="I2362" s="0">
        <v>29.99</v>
      </c>
      <c r="J2362" s="0">
        <v>10</v>
      </c>
    </row>
    <row r="2363" spans="1:10" customHeight="0">
      <c r="A2363" s="0">
        <f>HYPERLINK("https://dl.dropboxusercontent.com/scl/fi/mrjcl6flbcf3cpga6017n/111717-af.jpg?rlkey=sjyq18069lgfukx4fadcptn0q&amp;dl=0","Click to download Image")</f>
      </c>
      <c r="B2363" s="0">
        <f>HYPERLINK("https://dl.dropboxusercontent.com/scl/fi/8333bmybqm9psw1thgpup/8-19womens-sports-bra.jpg?rlkey=5m826e9czfvnp23teav7ph299&amp;dl=0","Click to download SizeChart")</f>
      </c>
      <c r="C2363" s="0" t="inlineStr">
        <is>
          <t>Sun Women's Criss-Cross Sports Bra</t>
        </is>
      </c>
      <c r="D2363" s="1">
        <v>111717</v>
      </c>
      <c r="E2363" s="0" t="inlineStr">
        <is>
          <t>IOWA SUN SPORT BRA BLACK:111717C-L</t>
        </is>
      </c>
      <c r="F2363" s="2">
        <v>800111717060</v>
      </c>
      <c r="G2363" s="0" t="inlineStr">
        <is>
          <t>WOMENS</t>
        </is>
      </c>
      <c r="H2363" s="0" t="inlineStr">
        <is>
          <t>L</t>
        </is>
      </c>
      <c r="I2363" s="0">
        <v>29.99</v>
      </c>
      <c r="J2363" s="0">
        <v>3</v>
      </c>
    </row>
    <row r="2364" spans="1:10" customHeight="0">
      <c r="A2364" s="0">
        <f>HYPERLINK("https://dl.dropboxusercontent.com/scl/fi/mrjcl6flbcf3cpga6017n/111717-af.jpg?rlkey=sjyq18069lgfukx4fadcptn0q&amp;dl=0","Click to download Image")</f>
      </c>
      <c r="B2364" s="0">
        <f>HYPERLINK("https://dl.dropboxusercontent.com/scl/fi/8333bmybqm9psw1thgpup/8-19womens-sports-bra.jpg?rlkey=5m826e9czfvnp23teav7ph299&amp;dl=0","Click to download SizeChart")</f>
      </c>
      <c r="C2364" s="0" t="inlineStr">
        <is>
          <t>Sun Women's Criss-Cross Sports Bra</t>
        </is>
      </c>
      <c r="D2364" s="1">
        <v>111717</v>
      </c>
      <c r="E2364" s="0" t="inlineStr">
        <is>
          <t>IOWA SUN SPORT BRA BLACK:111717D-XL</t>
        </is>
      </c>
      <c r="F2364" s="2">
        <v>800111717077</v>
      </c>
      <c r="G2364" s="0" t="inlineStr">
        <is>
          <t>WOMENS</t>
        </is>
      </c>
      <c r="H2364" s="0" t="inlineStr">
        <is>
          <t>XL</t>
        </is>
      </c>
      <c r="I2364" s="0">
        <v>29.99</v>
      </c>
      <c r="J2364" s="0">
        <v>20</v>
      </c>
    </row>
    <row r="2365" spans="1:10" customHeight="0">
      <c r="A2365" s="0">
        <f>HYPERLINK("https://dl.dropboxusercontent.com/scl/fi/mrjcl6flbcf3cpga6017n/111717-af.jpg?rlkey=sjyq18069lgfukx4fadcptn0q&amp;dl=0","Click to download Image")</f>
      </c>
      <c r="B2365" s="0">
        <f>HYPERLINK("https://dl.dropboxusercontent.com/scl/fi/8333bmybqm9psw1thgpup/8-19womens-sports-bra.jpg?rlkey=5m826e9czfvnp23teav7ph299&amp;dl=0","Click to download SizeChart")</f>
      </c>
      <c r="C2365" s="0" t="inlineStr">
        <is>
          <t>Sun Women's Criss-Cross Sports Bra</t>
        </is>
      </c>
      <c r="D2365" s="1">
        <v>111717</v>
      </c>
      <c r="E2365" s="0" t="inlineStr">
        <is>
          <t>IOWA SUN SPORT BRA BLACK 12 PACK:111717Z-12PK</t>
        </is>
      </c>
      <c r="F2365" s="2">
        <v>800111717992</v>
      </c>
      <c r="G2365" s="0" t="inlineStr">
        <is>
          <t>WOMENS</t>
        </is>
      </c>
      <c r="H2365" s="0" t="inlineStr">
        <is>
          <t>12 PACK</t>
        </is>
      </c>
      <c r="I2365" s="0">
        <v>341.88</v>
      </c>
      <c r="J2365" s="0">
        <v>0</v>
      </c>
    </row>
    <row r="2366" spans="1:10" customHeight="0">
      <c r="A2366" s="0">
        <f>HYPERLINK("https://dl.dropboxusercontent.com/scl/fi/syoeg6ynsh92a6vxnu7lf/111719-af.jpg?rlkey=vanp15lxqpbfnjuexssxsv6xm&amp;dl=0","Click to download Image")</f>
      </c>
      <c r="B2366" s="0">
        <f>HYPERLINK("https://dl.dropboxusercontent.com/scl/fi/8333bmybqm9psw1thgpup/8-19womens-sports-bra.jpg?rlkey=5m826e9czfvnp23teav7ph299&amp;dl=0","Click to download SizeChart")</f>
      </c>
      <c r="C2366" s="0" t="inlineStr">
        <is>
          <t>Sun Women's Criss-Cross Sports Bra</t>
        </is>
      </c>
      <c r="D2366" s="1">
        <v>111719</v>
      </c>
      <c r="E2366" s="0" t="inlineStr">
        <is>
          <t>IOWA SUN SPORT BRA:111719AA-XS</t>
        </is>
      </c>
      <c r="F2366" s="2">
        <v>800111719033</v>
      </c>
      <c r="G2366" s="0" t="inlineStr">
        <is>
          <t>WOMENS</t>
        </is>
      </c>
      <c r="H2366" s="0" t="inlineStr">
        <is>
          <t>XS</t>
        </is>
      </c>
      <c r="I2366" s="0">
        <v>29.99</v>
      </c>
      <c r="J2366" s="0">
        <v>16</v>
      </c>
    </row>
    <row r="2367" spans="1:10" customHeight="0">
      <c r="A2367" s="0">
        <f>HYPERLINK("https://dl.dropboxusercontent.com/scl/fi/syoeg6ynsh92a6vxnu7lf/111719-af.jpg?rlkey=vanp15lxqpbfnjuexssxsv6xm&amp;dl=0","Click to download Image")</f>
      </c>
      <c r="B2367" s="0">
        <f>HYPERLINK("https://dl.dropboxusercontent.com/scl/fi/8333bmybqm9psw1thgpup/8-19womens-sports-bra.jpg?rlkey=5m826e9czfvnp23teav7ph299&amp;dl=0","Click to download SizeChart")</f>
      </c>
      <c r="C2367" s="0" t="inlineStr">
        <is>
          <t>Sun Women's Criss-Cross Sports Bra</t>
        </is>
      </c>
      <c r="D2367" s="1">
        <v>111719</v>
      </c>
      <c r="E2367" s="0" t="inlineStr">
        <is>
          <t>IOWA SUN SPORT BRA:111719A-S</t>
        </is>
      </c>
      <c r="F2367" s="2">
        <v>800111719040</v>
      </c>
      <c r="G2367" s="0" t="inlineStr">
        <is>
          <t>WOMENS</t>
        </is>
      </c>
      <c r="H2367" s="0" t="inlineStr">
        <is>
          <t>S</t>
        </is>
      </c>
      <c r="I2367" s="0">
        <v>29.99</v>
      </c>
      <c r="J2367" s="0">
        <v>14</v>
      </c>
    </row>
    <row r="2368" spans="1:10" customHeight="0">
      <c r="A2368" s="0">
        <f>HYPERLINK("https://dl.dropboxusercontent.com/scl/fi/syoeg6ynsh92a6vxnu7lf/111719-af.jpg?rlkey=vanp15lxqpbfnjuexssxsv6xm&amp;dl=0","Click to download Image")</f>
      </c>
      <c r="B2368" s="0">
        <f>HYPERLINK("https://dl.dropboxusercontent.com/scl/fi/8333bmybqm9psw1thgpup/8-19womens-sports-bra.jpg?rlkey=5m826e9czfvnp23teav7ph299&amp;dl=0","Click to download SizeChart")</f>
      </c>
      <c r="C2368" s="0" t="inlineStr">
        <is>
          <t>Sun Women's Criss-Cross Sports Bra</t>
        </is>
      </c>
      <c r="D2368" s="1">
        <v>111719</v>
      </c>
      <c r="E2368" s="0" t="inlineStr">
        <is>
          <t>IOWA SUN SPORT BRA:111719B-M</t>
        </is>
      </c>
      <c r="F2368" s="2">
        <v>800111719057</v>
      </c>
      <c r="G2368" s="0" t="inlineStr">
        <is>
          <t>WOMENS</t>
        </is>
      </c>
      <c r="H2368" s="0" t="inlineStr">
        <is>
          <t>M</t>
        </is>
      </c>
      <c r="I2368" s="0">
        <v>29.99</v>
      </c>
      <c r="J2368" s="0">
        <v>5</v>
      </c>
    </row>
    <row r="2369" spans="1:10" customHeight="0">
      <c r="A2369" s="0">
        <f>HYPERLINK("https://dl.dropboxusercontent.com/scl/fi/syoeg6ynsh92a6vxnu7lf/111719-af.jpg?rlkey=vanp15lxqpbfnjuexssxsv6xm&amp;dl=0","Click to download Image")</f>
      </c>
      <c r="B2369" s="0">
        <f>HYPERLINK("https://dl.dropboxusercontent.com/scl/fi/8333bmybqm9psw1thgpup/8-19womens-sports-bra.jpg?rlkey=5m826e9czfvnp23teav7ph299&amp;dl=0","Click to download SizeChart")</f>
      </c>
      <c r="C2369" s="0" t="inlineStr">
        <is>
          <t>Sun Women's Criss-Cross Sports Bra</t>
        </is>
      </c>
      <c r="D2369" s="1">
        <v>111719</v>
      </c>
      <c r="E2369" s="0" t="inlineStr">
        <is>
          <t>IOWA SUN SPORT BRA:111719C-L</t>
        </is>
      </c>
      <c r="F2369" s="2">
        <v>800111719064</v>
      </c>
      <c r="G2369" s="0" t="inlineStr">
        <is>
          <t>WOMENS</t>
        </is>
      </c>
      <c r="H2369" s="0" t="inlineStr">
        <is>
          <t>L</t>
        </is>
      </c>
      <c r="I2369" s="0">
        <v>29.99</v>
      </c>
      <c r="J2369" s="0">
        <v>8</v>
      </c>
    </row>
    <row r="2370" spans="1:10" customHeight="0">
      <c r="A2370" s="0">
        <f>HYPERLINK("https://dl.dropboxusercontent.com/scl/fi/syoeg6ynsh92a6vxnu7lf/111719-af.jpg?rlkey=vanp15lxqpbfnjuexssxsv6xm&amp;dl=0","Click to download Image")</f>
      </c>
      <c r="B2370" s="0">
        <f>HYPERLINK("https://dl.dropboxusercontent.com/scl/fi/8333bmybqm9psw1thgpup/8-19womens-sports-bra.jpg?rlkey=5m826e9czfvnp23teav7ph299&amp;dl=0","Click to download SizeChart")</f>
      </c>
      <c r="C2370" s="0" t="inlineStr">
        <is>
          <t>Sun Women's Criss-Cross Sports Bra</t>
        </is>
      </c>
      <c r="D2370" s="1">
        <v>111719</v>
      </c>
      <c r="E2370" s="0" t="inlineStr">
        <is>
          <t>IOWA SUN SPORT BRA:111719D-XL</t>
        </is>
      </c>
      <c r="F2370" s="2">
        <v>800111719071</v>
      </c>
      <c r="G2370" s="0" t="inlineStr">
        <is>
          <t>WOMENS</t>
        </is>
      </c>
      <c r="H2370" s="0" t="inlineStr">
        <is>
          <t>XL</t>
        </is>
      </c>
      <c r="I2370" s="0">
        <v>29.99</v>
      </c>
      <c r="J2370" s="0">
        <v>21</v>
      </c>
    </row>
    <row r="2371" spans="1:10" customHeight="0">
      <c r="A2371" s="0">
        <f>HYPERLINK("https://dl.dropboxusercontent.com/scl/fi/syoeg6ynsh92a6vxnu7lf/111719-af.jpg?rlkey=vanp15lxqpbfnjuexssxsv6xm&amp;dl=0","Click to download Image")</f>
      </c>
      <c r="B2371" s="0">
        <f>HYPERLINK("https://dl.dropboxusercontent.com/scl/fi/8333bmybqm9psw1thgpup/8-19womens-sports-bra.jpg?rlkey=5m826e9czfvnp23teav7ph299&amp;dl=0","Click to download SizeChart")</f>
      </c>
      <c r="C2371" s="0" t="inlineStr">
        <is>
          <t>Sun Women's Criss-Cross Sports Bra</t>
        </is>
      </c>
      <c r="D2371" s="1">
        <v>111719</v>
      </c>
      <c r="E2371" s="0" t="inlineStr">
        <is>
          <t>IOWA SUN SPORT BRA GOLD 12 PACK:111719Z-12PK</t>
        </is>
      </c>
      <c r="F2371" s="2">
        <v>800111719996</v>
      </c>
      <c r="G2371" s="0" t="inlineStr">
        <is>
          <t>WOMENS</t>
        </is>
      </c>
      <c r="H2371" s="0" t="inlineStr">
        <is>
          <t>12 PACK</t>
        </is>
      </c>
      <c r="I2371" s="0">
        <v>341.88</v>
      </c>
      <c r="J2371" s="0">
        <v>0</v>
      </c>
    </row>
    <row r="2372" spans="1:10" customHeight="0">
      <c r="A2372" s="0">
        <f>HYPERLINK("https://dl.dropboxusercontent.com/scl/fi/cyrzl469rf8yuwy4p50bn/111718-af.jpg?rlkey=wsyvx9usc76grdhm9zl73n1cf&amp;dl=0","Click to download Image")</f>
      </c>
      <c r="B2372" s="0">
        <f>HYPERLINK("https://dl.dropboxusercontent.com/scl/fi/8333bmybqm9psw1thgpup/8-19womens-sports-bra.jpg?rlkey=5m826e9czfvnp23teav7ph299&amp;dl=0","Click to download SizeChart")</f>
      </c>
      <c r="C2372" s="0" t="inlineStr">
        <is>
          <t>Sun Women's Criss-Cross Sports Bra</t>
        </is>
      </c>
      <c r="D2372" s="1">
        <v>111718</v>
      </c>
      <c r="E2372" s="0" t="inlineStr">
        <is>
          <t>IOWA SUN SPORT BRA WHITE:111718AA-XS</t>
        </is>
      </c>
      <c r="F2372" s="2">
        <v>800111718036</v>
      </c>
      <c r="G2372" s="0" t="inlineStr">
        <is>
          <t>WOMENS</t>
        </is>
      </c>
      <c r="H2372" s="0" t="inlineStr">
        <is>
          <t>XS</t>
        </is>
      </c>
      <c r="I2372" s="0">
        <v>29.99</v>
      </c>
      <c r="J2372" s="0">
        <v>12</v>
      </c>
    </row>
    <row r="2373" spans="1:10" customHeight="0">
      <c r="A2373" s="0">
        <f>HYPERLINK("https://dl.dropboxusercontent.com/scl/fi/cyrzl469rf8yuwy4p50bn/111718-af.jpg?rlkey=wsyvx9usc76grdhm9zl73n1cf&amp;dl=0","Click to download Image")</f>
      </c>
      <c r="B2373" s="0">
        <f>HYPERLINK("https://dl.dropboxusercontent.com/scl/fi/8333bmybqm9psw1thgpup/8-19womens-sports-bra.jpg?rlkey=5m826e9czfvnp23teav7ph299&amp;dl=0","Click to download SizeChart")</f>
      </c>
      <c r="C2373" s="0" t="inlineStr">
        <is>
          <t>Sun Women's Criss-Cross Sports Bra</t>
        </is>
      </c>
      <c r="D2373" s="1">
        <v>111718</v>
      </c>
      <c r="E2373" s="0" t="inlineStr">
        <is>
          <t>IOWA SUN SPORT BRA WHITE:111718A-S</t>
        </is>
      </c>
      <c r="F2373" s="2">
        <v>800111718043</v>
      </c>
      <c r="G2373" s="0" t="inlineStr">
        <is>
          <t>WOMENS</t>
        </is>
      </c>
      <c r="H2373" s="0" t="inlineStr">
        <is>
          <t>S</t>
        </is>
      </c>
      <c r="I2373" s="0">
        <v>29.99</v>
      </c>
      <c r="J2373" s="0">
        <v>7</v>
      </c>
    </row>
    <row r="2374" spans="1:10" customHeight="0">
      <c r="A2374" s="0">
        <f>HYPERLINK("https://dl.dropboxusercontent.com/scl/fi/cyrzl469rf8yuwy4p50bn/111718-af.jpg?rlkey=wsyvx9usc76grdhm9zl73n1cf&amp;dl=0","Click to download Image")</f>
      </c>
      <c r="B2374" s="0">
        <f>HYPERLINK("https://dl.dropboxusercontent.com/scl/fi/8333bmybqm9psw1thgpup/8-19womens-sports-bra.jpg?rlkey=5m826e9czfvnp23teav7ph299&amp;dl=0","Click to download SizeChart")</f>
      </c>
      <c r="C2374" s="0" t="inlineStr">
        <is>
          <t>Sun Women's Criss-Cross Sports Bra</t>
        </is>
      </c>
      <c r="D2374" s="1">
        <v>111718</v>
      </c>
      <c r="E2374" s="0" t="inlineStr">
        <is>
          <t>IOWA SUN SPORT BRA WHITE:111718B-M</t>
        </is>
      </c>
      <c r="F2374" s="2">
        <v>800111718050</v>
      </c>
      <c r="G2374" s="0" t="inlineStr">
        <is>
          <t>WOMENS</t>
        </is>
      </c>
      <c r="H2374" s="0" t="inlineStr">
        <is>
          <t>M</t>
        </is>
      </c>
      <c r="I2374" s="0">
        <v>29.99</v>
      </c>
      <c r="J2374" s="0">
        <v>3</v>
      </c>
    </row>
    <row r="2375" spans="1:10" customHeight="0">
      <c r="A2375" s="0">
        <f>HYPERLINK("https://dl.dropboxusercontent.com/scl/fi/cyrzl469rf8yuwy4p50bn/111718-af.jpg?rlkey=wsyvx9usc76grdhm9zl73n1cf&amp;dl=0","Click to download Image")</f>
      </c>
      <c r="B2375" s="0">
        <f>HYPERLINK("https://dl.dropboxusercontent.com/scl/fi/8333bmybqm9psw1thgpup/8-19womens-sports-bra.jpg?rlkey=5m826e9czfvnp23teav7ph299&amp;dl=0","Click to download SizeChart")</f>
      </c>
      <c r="C2375" s="0" t="inlineStr">
        <is>
          <t>Sun Women's Criss-Cross Sports Bra</t>
        </is>
      </c>
      <c r="D2375" s="1">
        <v>111718</v>
      </c>
      <c r="E2375" s="0" t="inlineStr">
        <is>
          <t>IOWA SUN SPORT BRA WHITE:111718C-L</t>
        </is>
      </c>
      <c r="F2375" s="2">
        <v>800111718067</v>
      </c>
      <c r="G2375" s="0" t="inlineStr">
        <is>
          <t>WOMENS</t>
        </is>
      </c>
      <c r="H2375" s="0" t="inlineStr">
        <is>
          <t>L</t>
        </is>
      </c>
      <c r="I2375" s="0">
        <v>29.99</v>
      </c>
      <c r="J2375" s="0">
        <v>4</v>
      </c>
    </row>
    <row r="2376" spans="1:10" customHeight="0">
      <c r="A2376" s="0">
        <f>HYPERLINK("https://dl.dropboxusercontent.com/scl/fi/cyrzl469rf8yuwy4p50bn/111718-af.jpg?rlkey=wsyvx9usc76grdhm9zl73n1cf&amp;dl=0","Click to download Image")</f>
      </c>
      <c r="B2376" s="0">
        <f>HYPERLINK("https://dl.dropboxusercontent.com/scl/fi/8333bmybqm9psw1thgpup/8-19womens-sports-bra.jpg?rlkey=5m826e9czfvnp23teav7ph299&amp;dl=0","Click to download SizeChart")</f>
      </c>
      <c r="C2376" s="0" t="inlineStr">
        <is>
          <t>Sun Women's Criss-Cross Sports Bra</t>
        </is>
      </c>
      <c r="D2376" s="1">
        <v>111718</v>
      </c>
      <c r="E2376" s="0" t="inlineStr">
        <is>
          <t>IOWA SUN SPORT BRA WHITE:111718D-XL</t>
        </is>
      </c>
      <c r="F2376" s="2">
        <v>800111718074</v>
      </c>
      <c r="G2376" s="0" t="inlineStr">
        <is>
          <t>WOMENS</t>
        </is>
      </c>
      <c r="H2376" s="0" t="inlineStr">
        <is>
          <t>XL</t>
        </is>
      </c>
      <c r="I2376" s="0">
        <v>29.99</v>
      </c>
      <c r="J2376" s="0">
        <v>6</v>
      </c>
    </row>
    <row r="2377" spans="1:10" customHeight="0">
      <c r="A2377" s="0">
        <f>HYPERLINK("https://dl.dropboxusercontent.com/scl/fi/cyrzl469rf8yuwy4p50bn/111718-af.jpg?rlkey=wsyvx9usc76grdhm9zl73n1cf&amp;dl=0","Click to download Image")</f>
      </c>
      <c r="B2377" s="0">
        <f>HYPERLINK("https://dl.dropboxusercontent.com/scl/fi/8333bmybqm9psw1thgpup/8-19womens-sports-bra.jpg?rlkey=5m826e9czfvnp23teav7ph299&amp;dl=0","Click to download SizeChart")</f>
      </c>
      <c r="C2377" s="0" t="inlineStr">
        <is>
          <t>Sun Women's Criss-Cross Sports Bra</t>
        </is>
      </c>
      <c r="D2377" s="1">
        <v>111718</v>
      </c>
      <c r="E2377" s="0" t="inlineStr">
        <is>
          <t>IOWA SUN SPORT BRA WHITE 12 PACK:111718Z-12PK</t>
        </is>
      </c>
      <c r="F2377" s="2">
        <v>800111718999</v>
      </c>
      <c r="G2377" s="0" t="inlineStr">
        <is>
          <t>WOMENS</t>
        </is>
      </c>
      <c r="H2377" s="0" t="inlineStr">
        <is>
          <t>12 PACK</t>
        </is>
      </c>
      <c r="I2377" s="0">
        <v>341.88</v>
      </c>
      <c r="J2377" s="0">
        <v>0</v>
      </c>
    </row>
    <row r="2378" spans="1:10" customHeight="0">
      <c r="A2378" s="0">
        <f>HYPERLINK("https://dl.dropboxusercontent.com/scl/fi/28m5n6ehg1b9hd0ce7zux/107082f.jpg?rlkey=fb3xebepk2xbuxl9t3q0vtfov&amp;dl=0","Click to download Image")</f>
      </c>
      <c r="B2378" s="0">
        <f>HYPERLINK("https://dl.dropboxusercontent.com/scl/fi/1ozq1wafyfrfta4g30mmo/graphic-update22022-infant.jpg?rlkey=xbh1uvsbo8sqj8u13t5n4t8nb&amp;dl=0","Click to download SizeChart")</f>
      </c>
      <c r="C2378" s="0" t="inlineStr">
        <is>
          <t>Virginia Infant Jumpsuit</t>
        </is>
      </c>
      <c r="D2378" s="1">
        <v>107082</v>
      </c>
      <c r="E2378" s="0" t="inlineStr">
        <is>
          <t>IA VIRGINIA:107082A-0-3M</t>
        </is>
      </c>
      <c r="F2378" s="2">
        <v>800107082011</v>
      </c>
      <c r="G2378" s="0" t="inlineStr">
        <is>
          <t>INFANT</t>
        </is>
      </c>
      <c r="H2378" s="0" t="inlineStr">
        <is>
          <t>0-3M</t>
        </is>
      </c>
      <c r="I2378" s="0">
        <v>32.99</v>
      </c>
      <c r="J2378" s="0">
        <v>5</v>
      </c>
    </row>
    <row r="2379" spans="1:10" customHeight="0">
      <c r="A2379" s="0">
        <f>HYPERLINK("https://dl.dropboxusercontent.com/scl/fi/28m5n6ehg1b9hd0ce7zux/107082f.jpg?rlkey=fb3xebepk2xbuxl9t3q0vtfov&amp;dl=0","Click to download Image")</f>
      </c>
      <c r="B2379" s="0">
        <f>HYPERLINK("https://dl.dropboxusercontent.com/scl/fi/1ozq1wafyfrfta4g30mmo/graphic-update22022-infant.jpg?rlkey=xbh1uvsbo8sqj8u13t5n4t8nb&amp;dl=0","Click to download SizeChart")</f>
      </c>
      <c r="C2379" s="0" t="inlineStr">
        <is>
          <t>Virginia Infant Jumpsuit</t>
        </is>
      </c>
      <c r="D2379" s="1">
        <v>107082</v>
      </c>
      <c r="E2379" s="0" t="inlineStr">
        <is>
          <t>IA VIRGINIA:107082B-3-6M</t>
        </is>
      </c>
      <c r="F2379" s="2">
        <v>800107082028</v>
      </c>
      <c r="G2379" s="0" t="inlineStr">
        <is>
          <t>INFANT</t>
        </is>
      </c>
      <c r="H2379" s="0" t="inlineStr">
        <is>
          <t>3-6M</t>
        </is>
      </c>
      <c r="I2379" s="0">
        <v>32.99</v>
      </c>
      <c r="J2379" s="0">
        <v>1</v>
      </c>
    </row>
    <row r="2380" spans="1:10" customHeight="0">
      <c r="A2380" s="0">
        <f>HYPERLINK("https://dl.dropboxusercontent.com/scl/fi/28m5n6ehg1b9hd0ce7zux/107082f.jpg?rlkey=fb3xebepk2xbuxl9t3q0vtfov&amp;dl=0","Click to download Image")</f>
      </c>
      <c r="B2380" s="0">
        <f>HYPERLINK("https://dl.dropboxusercontent.com/scl/fi/1ozq1wafyfrfta4g30mmo/graphic-update22022-infant.jpg?rlkey=xbh1uvsbo8sqj8u13t5n4t8nb&amp;dl=0","Click to download SizeChart")</f>
      </c>
      <c r="C2380" s="0" t="inlineStr">
        <is>
          <t>Virginia Infant Jumpsuit</t>
        </is>
      </c>
      <c r="D2380" s="1">
        <v>107082</v>
      </c>
      <c r="E2380" s="0" t="inlineStr">
        <is>
          <t>IA VIRGINIA:107082C-6-9M</t>
        </is>
      </c>
      <c r="F2380" s="2">
        <v>800107082035</v>
      </c>
      <c r="G2380" s="0" t="inlineStr">
        <is>
          <t>INFANT</t>
        </is>
      </c>
      <c r="H2380" s="0" t="inlineStr">
        <is>
          <t>6-9M</t>
        </is>
      </c>
      <c r="I2380" s="0">
        <v>32.99</v>
      </c>
      <c r="J2380" s="0">
        <v>4</v>
      </c>
    </row>
    <row r="2381" spans="1:10" customHeight="0">
      <c r="A2381" s="0">
        <f>HYPERLINK("https://dl.dropboxusercontent.com/scl/fi/28m5n6ehg1b9hd0ce7zux/107082f.jpg?rlkey=fb3xebepk2xbuxl9t3q0vtfov&amp;dl=0","Click to download Image")</f>
      </c>
      <c r="B2381" s="0">
        <f>HYPERLINK("https://dl.dropboxusercontent.com/scl/fi/1ozq1wafyfrfta4g30mmo/graphic-update22022-infant.jpg?rlkey=xbh1uvsbo8sqj8u13t5n4t8nb&amp;dl=0","Click to download SizeChart")</f>
      </c>
      <c r="C2381" s="0" t="inlineStr">
        <is>
          <t>Virginia Infant Jumpsuit</t>
        </is>
      </c>
      <c r="D2381" s="1">
        <v>107082</v>
      </c>
      <c r="E2381" s="0" t="inlineStr">
        <is>
          <t>IA VIRGINIA:107082F-12M</t>
        </is>
      </c>
      <c r="F2381" s="2">
        <v>800107082042</v>
      </c>
      <c r="G2381" s="0" t="inlineStr">
        <is>
          <t>INFANT</t>
        </is>
      </c>
      <c r="H2381" s="0" t="inlineStr">
        <is>
          <t>12M</t>
        </is>
      </c>
      <c r="I2381" s="0">
        <v>32.99</v>
      </c>
      <c r="J2381" s="0">
        <v>17</v>
      </c>
    </row>
    <row r="2382" spans="1:10" customHeight="0">
      <c r="A2382" s="0">
        <f>HYPERLINK("https://dl.dropboxusercontent.com/scl/fi/6n83v5sykex0ocuv72veo/tyrian-137840-f.jpg?rlkey=uy6j11m8kydyo43j01kdlvjfi&amp;dl=0","Click to download Image")</f>
      </c>
      <c r="B2382" s="0">
        <f>HYPERLINK("https://dl.dropboxusercontent.com/scl/fi/cuizhth981iv1r8ejveqd/mens-jackets-size-chartstyrian.jpg?rlkey=xyxbgbdk8r992ik24cffeog48&amp;dl=0","Click to download SizeChart")</f>
      </c>
      <c r="C2382" s="0" t="inlineStr">
        <is>
          <t>Tyrian Heavy-Duty Canvas Vest</t>
        </is>
      </c>
      <c r="D2382" s="1">
        <v>137840</v>
      </c>
      <c r="E2382" s="0" t="inlineStr">
        <is>
          <t>IOWA TYRIAN M BK:137840A-S</t>
        </is>
      </c>
      <c r="F2382" s="2">
        <v>800137840049</v>
      </c>
      <c r="G2382" s="0" t="inlineStr">
        <is>
          <t>MENS</t>
        </is>
      </c>
      <c r="H2382" s="0" t="inlineStr">
        <is>
          <t>S</t>
        </is>
      </c>
      <c r="I2382" s="0">
        <v>99.99</v>
      </c>
      <c r="J2382" s="0">
        <v>3</v>
      </c>
    </row>
    <row r="2383" spans="1:10" customHeight="0">
      <c r="A2383" s="0">
        <f>HYPERLINK("https://dl.dropboxusercontent.com/scl/fi/6n83v5sykex0ocuv72veo/tyrian-137840-f.jpg?rlkey=uy6j11m8kydyo43j01kdlvjfi&amp;dl=0","Click to download Image")</f>
      </c>
      <c r="B2383" s="0">
        <f>HYPERLINK("https://dl.dropboxusercontent.com/scl/fi/cuizhth981iv1r8ejveqd/mens-jackets-size-chartstyrian.jpg?rlkey=xyxbgbdk8r992ik24cffeog48&amp;dl=0","Click to download SizeChart")</f>
      </c>
      <c r="C2383" s="0" t="inlineStr">
        <is>
          <t>Tyrian Heavy-Duty Canvas Vest</t>
        </is>
      </c>
      <c r="D2383" s="1">
        <v>137840</v>
      </c>
      <c r="E2383" s="0" t="inlineStr">
        <is>
          <t>IOWA TYRIAN M BK:137840B-M</t>
        </is>
      </c>
      <c r="F2383" s="2">
        <v>800137840056</v>
      </c>
      <c r="G2383" s="0" t="inlineStr">
        <is>
          <t>MENS</t>
        </is>
      </c>
      <c r="H2383" s="0" t="inlineStr">
        <is>
          <t>M</t>
        </is>
      </c>
      <c r="I2383" s="0">
        <v>99.99</v>
      </c>
      <c r="J2383" s="0">
        <v>5</v>
      </c>
    </row>
    <row r="2384" spans="1:10" customHeight="0">
      <c r="A2384" s="0">
        <f>HYPERLINK("https://dl.dropboxusercontent.com/scl/fi/6n83v5sykex0ocuv72veo/tyrian-137840-f.jpg?rlkey=uy6j11m8kydyo43j01kdlvjfi&amp;dl=0","Click to download Image")</f>
      </c>
      <c r="B2384" s="0">
        <f>HYPERLINK("https://dl.dropboxusercontent.com/scl/fi/cuizhth981iv1r8ejveqd/mens-jackets-size-chartstyrian.jpg?rlkey=xyxbgbdk8r992ik24cffeog48&amp;dl=0","Click to download SizeChart")</f>
      </c>
      <c r="C2384" s="0" t="inlineStr">
        <is>
          <t>Tyrian Heavy-Duty Canvas Vest</t>
        </is>
      </c>
      <c r="D2384" s="1">
        <v>137840</v>
      </c>
      <c r="E2384" s="0" t="inlineStr">
        <is>
          <t>IOWA TYRIAN M BK:137840C-L</t>
        </is>
      </c>
      <c r="F2384" s="2">
        <v>800137840063</v>
      </c>
      <c r="G2384" s="0" t="inlineStr">
        <is>
          <t>MENS</t>
        </is>
      </c>
      <c r="H2384" s="0" t="inlineStr">
        <is>
          <t>L</t>
        </is>
      </c>
      <c r="I2384" s="0">
        <v>99.99</v>
      </c>
      <c r="J2384" s="0">
        <v>5</v>
      </c>
    </row>
    <row r="2385" spans="1:10" customHeight="0">
      <c r="A2385" s="0">
        <f>HYPERLINK("https://dl.dropboxusercontent.com/scl/fi/6n83v5sykex0ocuv72veo/tyrian-137840-f.jpg?rlkey=uy6j11m8kydyo43j01kdlvjfi&amp;dl=0","Click to download Image")</f>
      </c>
      <c r="B2385" s="0">
        <f>HYPERLINK("https://dl.dropboxusercontent.com/scl/fi/cuizhth981iv1r8ejveqd/mens-jackets-size-chartstyrian.jpg?rlkey=xyxbgbdk8r992ik24cffeog48&amp;dl=0","Click to download SizeChart")</f>
      </c>
      <c r="C2385" s="0" t="inlineStr">
        <is>
          <t>Tyrian Heavy-Duty Canvas Vest</t>
        </is>
      </c>
      <c r="D2385" s="1">
        <v>137840</v>
      </c>
      <c r="E2385" s="0" t="inlineStr">
        <is>
          <t>IOWA TYRIAN M BK:137840D-XL</t>
        </is>
      </c>
      <c r="F2385" s="2">
        <v>800137840070</v>
      </c>
      <c r="G2385" s="0" t="inlineStr">
        <is>
          <t>MENS</t>
        </is>
      </c>
      <c r="H2385" s="0" t="inlineStr">
        <is>
          <t>XL</t>
        </is>
      </c>
      <c r="I2385" s="0">
        <v>99.99</v>
      </c>
      <c r="J2385" s="0">
        <v>5</v>
      </c>
    </row>
    <row r="2386" spans="1:10" customHeight="0">
      <c r="A2386" s="0">
        <f>HYPERLINK("https://dl.dropboxusercontent.com/scl/fi/6n83v5sykex0ocuv72veo/tyrian-137840-f.jpg?rlkey=uy6j11m8kydyo43j01kdlvjfi&amp;dl=0","Click to download Image")</f>
      </c>
      <c r="B2386" s="0">
        <f>HYPERLINK("https://dl.dropboxusercontent.com/scl/fi/cuizhth981iv1r8ejveqd/mens-jackets-size-chartstyrian.jpg?rlkey=xyxbgbdk8r992ik24cffeog48&amp;dl=0","Click to download SizeChart")</f>
      </c>
      <c r="C2386" s="0" t="inlineStr">
        <is>
          <t>Tyrian Heavy-Duty Canvas Vest</t>
        </is>
      </c>
      <c r="D2386" s="1">
        <v>137840</v>
      </c>
      <c r="E2386" s="0" t="inlineStr">
        <is>
          <t>IOWA TYRIAN M BK:137840E-2XL</t>
        </is>
      </c>
      <c r="F2386" s="2">
        <v>800137840087</v>
      </c>
      <c r="G2386" s="0" t="inlineStr">
        <is>
          <t>MENS</t>
        </is>
      </c>
      <c r="H2386" s="0" t="inlineStr">
        <is>
          <t>2XL</t>
        </is>
      </c>
      <c r="I2386" s="0">
        <v>99.99</v>
      </c>
      <c r="J2386" s="0">
        <v>3</v>
      </c>
    </row>
    <row r="2387" spans="1:10" customHeight="0">
      <c r="A2387" s="0">
        <f>HYPERLINK("https://dl.dropboxusercontent.com/scl/fi/6n83v5sykex0ocuv72veo/tyrian-137840-f.jpg?rlkey=uy6j11m8kydyo43j01kdlvjfi&amp;dl=0","Click to download Image")</f>
      </c>
      <c r="B2387" s="0">
        <f>HYPERLINK("https://dl.dropboxusercontent.com/scl/fi/cuizhth981iv1r8ejveqd/mens-jackets-size-chartstyrian.jpg?rlkey=xyxbgbdk8r992ik24cffeog48&amp;dl=0","Click to download SizeChart")</f>
      </c>
      <c r="C2387" s="0" t="inlineStr">
        <is>
          <t>Tyrian Heavy-Duty Canvas Vest</t>
        </is>
      </c>
      <c r="D2387" s="1">
        <v>137840</v>
      </c>
      <c r="E2387" s="0" t="inlineStr">
        <is>
          <t>IOWA TYRIAN M BK:137840F-3XL</t>
        </is>
      </c>
      <c r="F2387" s="2">
        <v>800137840094</v>
      </c>
      <c r="G2387" s="0" t="inlineStr">
        <is>
          <t>MENS</t>
        </is>
      </c>
      <c r="H2387" s="0" t="inlineStr">
        <is>
          <t>3XL</t>
        </is>
      </c>
      <c r="I2387" s="0">
        <v>99.99</v>
      </c>
      <c r="J2387" s="0">
        <v>2</v>
      </c>
    </row>
    <row r="2388" spans="1:10" customHeight="0">
      <c r="A2388" s="0">
        <f>HYPERLINK("https://dl.dropboxusercontent.com/scl/fi/6n83v5sykex0ocuv72veo/tyrian-137840-f.jpg?rlkey=uy6j11m8kydyo43j01kdlvjfi&amp;dl=0","Click to download Image")</f>
      </c>
      <c r="B2388" s="0">
        <f>HYPERLINK("https://dl.dropboxusercontent.com/scl/fi/cuizhth981iv1r8ejveqd/mens-jackets-size-chartstyrian.jpg?rlkey=xyxbgbdk8r992ik24cffeog48&amp;dl=0","Click to download SizeChart")</f>
      </c>
      <c r="C2388" s="0" t="inlineStr">
        <is>
          <t>Tyrian Heavy-Duty Canvas Vest</t>
        </is>
      </c>
      <c r="D2388" s="1">
        <v>137840</v>
      </c>
      <c r="E2388" s="0" t="inlineStr">
        <is>
          <t>IOWA TYRIAN M BK 12PK:137840Z-12PK</t>
        </is>
      </c>
      <c r="F2388" s="2">
        <v>800137840995</v>
      </c>
      <c r="G2388" s="0" t="inlineStr">
        <is>
          <t>MENS</t>
        </is>
      </c>
      <c r="H2388" s="0" t="inlineStr">
        <is>
          <t>12 PACK</t>
        </is>
      </c>
      <c r="I2388" s="0">
        <v>99.99</v>
      </c>
      <c r="J2388" s="0">
        <v>0</v>
      </c>
    </row>
    <row r="2389" spans="1:10" customHeight="0">
      <c r="A2389" s="0">
        <f>HYPERLINK("https://dl.dropboxusercontent.com/scl/fi/emuxieq56nfi5iddzi9x4/iasarablacktiedyet-shirt-1-0288186.jpg?rlkey=ehpl8eabdpr33ako9hf4jaajr&amp;dl=0","Click to download Image")</f>
      </c>
      <c r="B2389" s="0">
        <f>HYPERLINK("https://dl.dropboxusercontent.com/scl/fi/2pol68exgunibm9ybb3eo/womens-t-shirt-size-chartscason-sara.jpg?rlkey=bzx71711tyqfg0w572hv9y9n5&amp;dl=0","Click to download SizeChart")</f>
      </c>
      <c r="C2389" s="0" t="inlineStr">
        <is>
          <t>Sara Ladies Tie Dye T-Shirt</t>
        </is>
      </c>
      <c r="D2389" s="1">
        <v>126156</v>
      </c>
      <c r="E2389" s="0" t="inlineStr">
        <is>
          <t>IOWA SARA W BK:126156D-XL</t>
        </is>
      </c>
      <c r="F2389" s="2">
        <v>800126156076</v>
      </c>
      <c r="G2389" s="0" t="inlineStr">
        <is>
          <t>WOMENS</t>
        </is>
      </c>
      <c r="H2389" s="0" t="inlineStr">
        <is>
          <t>XL</t>
        </is>
      </c>
      <c r="I2389" s="0">
        <v>24.99</v>
      </c>
      <c r="J2389" s="0">
        <v>2</v>
      </c>
    </row>
    <row r="2390" spans="1:10" customHeight="0">
      <c r="A2390" s="0">
        <f>HYPERLINK("https://dl.dropboxusercontent.com/scl/fi/emuxieq56nfi5iddzi9x4/iasarablacktiedyet-shirt-1-0288186.jpg?rlkey=ehpl8eabdpr33ako9hf4jaajr&amp;dl=0","Click to download Image")</f>
      </c>
      <c r="B2390" s="0">
        <f>HYPERLINK("https://dl.dropboxusercontent.com/scl/fi/2pol68exgunibm9ybb3eo/womens-t-shirt-size-chartscason-sara.jpg?rlkey=bzx71711tyqfg0w572hv9y9n5&amp;dl=0","Click to download SizeChart")</f>
      </c>
      <c r="C2390" s="0" t="inlineStr">
        <is>
          <t>Sara Ladies Tie Dye T-Shirt</t>
        </is>
      </c>
      <c r="D2390" s="1">
        <v>126156</v>
      </c>
      <c r="E2390" s="0" t="inlineStr">
        <is>
          <t>IOWA SARA W BK:126156E-2XL</t>
        </is>
      </c>
      <c r="F2390" s="2">
        <v>800126156083</v>
      </c>
      <c r="G2390" s="0" t="inlineStr">
        <is>
          <t>WOMENS</t>
        </is>
      </c>
      <c r="H2390" s="0" t="inlineStr">
        <is>
          <t>2XL</t>
        </is>
      </c>
      <c r="I2390" s="0">
        <v>26.99</v>
      </c>
      <c r="J2390" s="0">
        <v>4</v>
      </c>
    </row>
    <row r="2391" spans="1:10" customHeight="0">
      <c r="A2391" s="0">
        <f>HYPERLINK("https://dl.dropboxusercontent.com/scl/fi/emuxieq56nfi5iddzi9x4/iasarablacktiedyet-shirt-1-0288186.jpg?rlkey=ehpl8eabdpr33ako9hf4jaajr&amp;dl=0","Click to download Image")</f>
      </c>
      <c r="B2391" s="0">
        <f>HYPERLINK("https://dl.dropboxusercontent.com/scl/fi/2pol68exgunibm9ybb3eo/womens-t-shirt-size-chartscason-sara.jpg?rlkey=bzx71711tyqfg0w572hv9y9n5&amp;dl=0","Click to download SizeChart")</f>
      </c>
      <c r="C2391" s="0" t="inlineStr">
        <is>
          <t>Sara Ladies Tie Dye T-Shirt</t>
        </is>
      </c>
      <c r="D2391" s="1">
        <v>126156</v>
      </c>
      <c r="E2391" s="0" t="inlineStr">
        <is>
          <t>IOWA SARA W BK:126156F-3XL</t>
        </is>
      </c>
      <c r="F2391" s="2">
        <v>800126156090</v>
      </c>
      <c r="G2391" s="0" t="inlineStr">
        <is>
          <t>WOMENS</t>
        </is>
      </c>
      <c r="H2391" s="0" t="inlineStr">
        <is>
          <t>3XL</t>
        </is>
      </c>
      <c r="I2391" s="0">
        <v>26.99</v>
      </c>
      <c r="J2391" s="0">
        <v>4</v>
      </c>
    </row>
    <row r="2392" spans="1:10" customHeight="0">
      <c r="A2392" s="0">
        <f>HYPERLINK("https://dl.dropboxusercontent.com/scl/fi/xqfzxxxuap4f8ptkxqks3/121359-f.jpg?rlkey=81j1jg34nboo7mmqbyjmwhr0l&amp;dl=0","Click to download Image")</f>
      </c>
      <c r="C2392" s="0" t="inlineStr">
        <is>
          <t>Accessory Case</t>
        </is>
      </c>
      <c r="D2392" s="1">
        <v>121359</v>
      </c>
      <c r="E2392" s="0" t="inlineStr">
        <is>
          <t>IOWA FACEMASK CASE:121359</t>
        </is>
      </c>
      <c r="F2392" s="2">
        <v>900121359011</v>
      </c>
      <c r="I2392" s="0">
        <v>9.99</v>
      </c>
      <c r="J2392" s="0">
        <v>95</v>
      </c>
    </row>
    <row r="2393" spans="1:10" customHeight="0">
      <c r="A2393" s="0">
        <f>HYPERLINK("https://dl.dropboxusercontent.com/scl/fi/b96fuw7vy3yg8e623tpu0/ia.jpg?rlkey=id4fd3yb6kjlfgbxdudagj1z7&amp;dl=0","Click to download Image")</f>
      </c>
      <c r="B2393" s="0">
        <f>HYPERLINK("https://dl.dropboxusercontent.com/scl/fi/hp9azgxk1q9mhpm0a9m35/marta.jpg?rlkey=j01fx2qbmqwm1ou1jpch5anqd&amp;dl=0","Click to download SizeChart")</f>
      </c>
      <c r="C2393" s="0" t="inlineStr">
        <is>
          <t>Marta Womens Golf Polo</t>
        </is>
      </c>
      <c r="D2393" s="1">
        <v>113905</v>
      </c>
      <c r="E2393" s="0" t="inlineStr">
        <is>
          <t>IOWA MARTA W BLACK:113905A-S</t>
        </is>
      </c>
      <c r="F2393" s="2">
        <v>800113905045</v>
      </c>
      <c r="G2393" s="0" t="inlineStr">
        <is>
          <t>WOMENS</t>
        </is>
      </c>
      <c r="H2393" s="0" t="inlineStr">
        <is>
          <t>S</t>
        </is>
      </c>
      <c r="I2393" s="0">
        <v>40.98</v>
      </c>
      <c r="J2393" s="0">
        <v>9</v>
      </c>
    </row>
    <row r="2394" spans="1:10" customHeight="0">
      <c r="A2394" s="0">
        <f>HYPERLINK("https://dl.dropboxusercontent.com/scl/fi/b96fuw7vy3yg8e623tpu0/ia.jpg?rlkey=id4fd3yb6kjlfgbxdudagj1z7&amp;dl=0","Click to download Image")</f>
      </c>
      <c r="B2394" s="0">
        <f>HYPERLINK("https://dl.dropboxusercontent.com/scl/fi/hp9azgxk1q9mhpm0a9m35/marta.jpg?rlkey=j01fx2qbmqwm1ou1jpch5anqd&amp;dl=0","Click to download SizeChart")</f>
      </c>
      <c r="C2394" s="0" t="inlineStr">
        <is>
          <t>Marta Womens Golf Polo</t>
        </is>
      </c>
      <c r="D2394" s="1">
        <v>113905</v>
      </c>
      <c r="E2394" s="0" t="inlineStr">
        <is>
          <t>IOWA MARTA W BLACK:113905B-M</t>
        </is>
      </c>
      <c r="F2394" s="2">
        <v>800113905052</v>
      </c>
      <c r="G2394" s="0" t="inlineStr">
        <is>
          <t>WOMENS</t>
        </is>
      </c>
      <c r="H2394" s="0" t="inlineStr">
        <is>
          <t>M</t>
        </is>
      </c>
      <c r="I2394" s="0">
        <v>40.98</v>
      </c>
      <c r="J2394" s="0">
        <v>18</v>
      </c>
    </row>
    <row r="2395" spans="1:10" customHeight="0">
      <c r="A2395" s="0">
        <f>HYPERLINK("https://dl.dropboxusercontent.com/scl/fi/b96fuw7vy3yg8e623tpu0/ia.jpg?rlkey=id4fd3yb6kjlfgbxdudagj1z7&amp;dl=0","Click to download Image")</f>
      </c>
      <c r="B2395" s="0">
        <f>HYPERLINK("https://dl.dropboxusercontent.com/scl/fi/hp9azgxk1q9mhpm0a9m35/marta.jpg?rlkey=j01fx2qbmqwm1ou1jpch5anqd&amp;dl=0","Click to download SizeChart")</f>
      </c>
      <c r="C2395" s="0" t="inlineStr">
        <is>
          <t>Marta Womens Golf Polo</t>
        </is>
      </c>
      <c r="D2395" s="1">
        <v>113905</v>
      </c>
      <c r="E2395" s="0" t="inlineStr">
        <is>
          <t>IOWA MARTA W BLACK:113905C-L</t>
        </is>
      </c>
      <c r="F2395" s="2">
        <v>800113905069</v>
      </c>
      <c r="G2395" s="0" t="inlineStr">
        <is>
          <t>WOMENS</t>
        </is>
      </c>
      <c r="H2395" s="0" t="inlineStr">
        <is>
          <t>L</t>
        </is>
      </c>
      <c r="I2395" s="0">
        <v>40.98</v>
      </c>
      <c r="J2395" s="0">
        <v>10</v>
      </c>
    </row>
    <row r="2396" spans="1:10" customHeight="0">
      <c r="A2396" s="0">
        <f>HYPERLINK("https://dl.dropboxusercontent.com/scl/fi/b96fuw7vy3yg8e623tpu0/ia.jpg?rlkey=id4fd3yb6kjlfgbxdudagj1z7&amp;dl=0","Click to download Image")</f>
      </c>
      <c r="B2396" s="0">
        <f>HYPERLINK("https://dl.dropboxusercontent.com/scl/fi/hp9azgxk1q9mhpm0a9m35/marta.jpg?rlkey=j01fx2qbmqwm1ou1jpch5anqd&amp;dl=0","Click to download SizeChart")</f>
      </c>
      <c r="C2396" s="0" t="inlineStr">
        <is>
          <t>Marta Womens Golf Polo</t>
        </is>
      </c>
      <c r="D2396" s="1">
        <v>113905</v>
      </c>
      <c r="E2396" s="0" t="inlineStr">
        <is>
          <t>IOWA MARTA W BLACK:113905D-XL</t>
        </is>
      </c>
      <c r="F2396" s="2">
        <v>800113905076</v>
      </c>
      <c r="G2396" s="0" t="inlineStr">
        <is>
          <t>WOMENS</t>
        </is>
      </c>
      <c r="H2396" s="0" t="inlineStr">
        <is>
          <t>XL</t>
        </is>
      </c>
      <c r="I2396" s="0">
        <v>40.98</v>
      </c>
      <c r="J2396" s="0">
        <v>0</v>
      </c>
    </row>
    <row r="2397" spans="1:10" customHeight="0">
      <c r="A2397" s="0">
        <f>HYPERLINK("https://dl.dropboxusercontent.com/scl/fi/b96fuw7vy3yg8e623tpu0/ia.jpg?rlkey=id4fd3yb6kjlfgbxdudagj1z7&amp;dl=0","Click to download Image")</f>
      </c>
      <c r="B2397" s="0">
        <f>HYPERLINK("https://dl.dropboxusercontent.com/scl/fi/hp9azgxk1q9mhpm0a9m35/marta.jpg?rlkey=j01fx2qbmqwm1ou1jpch5anqd&amp;dl=0","Click to download SizeChart")</f>
      </c>
      <c r="C2397" s="0" t="inlineStr">
        <is>
          <t>Marta Womens Golf Polo</t>
        </is>
      </c>
      <c r="D2397" s="1">
        <v>113905</v>
      </c>
      <c r="E2397" s="0" t="inlineStr">
        <is>
          <t>IOWA MARTA W BLACK:113905E-2XL</t>
        </is>
      </c>
      <c r="F2397" s="2">
        <v>800113905083</v>
      </c>
      <c r="G2397" s="0" t="inlineStr">
        <is>
          <t>WOMENS</t>
        </is>
      </c>
      <c r="H2397" s="0" t="inlineStr">
        <is>
          <t>2XL</t>
        </is>
      </c>
      <c r="I2397" s="0">
        <v>42.98</v>
      </c>
      <c r="J2397" s="0">
        <v>0</v>
      </c>
    </row>
    <row r="2398" spans="1:10" customHeight="0">
      <c r="A2398" s="0">
        <f>HYPERLINK("https://dl.dropboxusercontent.com/scl/fi/b96fuw7vy3yg8e623tpu0/ia.jpg?rlkey=id4fd3yb6kjlfgbxdudagj1z7&amp;dl=0","Click to download Image")</f>
      </c>
      <c r="B2398" s="0">
        <f>HYPERLINK("https://dl.dropboxusercontent.com/scl/fi/hp9azgxk1q9mhpm0a9m35/marta.jpg?rlkey=j01fx2qbmqwm1ou1jpch5anqd&amp;dl=0","Click to download SizeChart")</f>
      </c>
      <c r="C2398" s="0" t="inlineStr">
        <is>
          <t>Marta Womens Golf Polo</t>
        </is>
      </c>
      <c r="D2398" s="1">
        <v>113905</v>
      </c>
      <c r="E2398" s="0" t="inlineStr">
        <is>
          <t>IOWA MARTA W BLACK:113905F-3XL</t>
        </is>
      </c>
      <c r="F2398" s="2">
        <v>800113905090</v>
      </c>
      <c r="G2398" s="0" t="inlineStr">
        <is>
          <t>WOMENS</t>
        </is>
      </c>
      <c r="H2398" s="0" t="inlineStr">
        <is>
          <t>3XL</t>
        </is>
      </c>
      <c r="I2398" s="0">
        <v>42.98</v>
      </c>
      <c r="J2398" s="0">
        <v>0</v>
      </c>
    </row>
    <row r="2399" spans="1:10" customHeight="0">
      <c r="A2399" s="0">
        <f>HYPERLINK("https://dl.dropboxusercontent.com/scl/fi/b96fuw7vy3yg8e623tpu0/ia.jpg?rlkey=id4fd3yb6kjlfgbxdudagj1z7&amp;dl=0","Click to download Image")</f>
      </c>
      <c r="B2399" s="0">
        <f>HYPERLINK("https://dl.dropboxusercontent.com/scl/fi/hp9azgxk1q9mhpm0a9m35/marta.jpg?rlkey=j01fx2qbmqwm1ou1jpch5anqd&amp;dl=0","Click to download SizeChart")</f>
      </c>
      <c r="C2399" s="0" t="inlineStr">
        <is>
          <t>Marta Womens Golf Polo</t>
        </is>
      </c>
      <c r="D2399" s="1">
        <v>113905</v>
      </c>
      <c r="E2399" s="0" t="inlineStr">
        <is>
          <t>IOWA MARTA W BLACK 12 PACK:113905Z-12PK</t>
        </is>
      </c>
      <c r="F2399" s="2">
        <v>800113905991</v>
      </c>
      <c r="G2399" s="0" t="inlineStr">
        <is>
          <t>WOMENS</t>
        </is>
      </c>
      <c r="H2399" s="0" t="inlineStr">
        <is>
          <t>12 PACK</t>
        </is>
      </c>
      <c r="I2399" s="0">
        <v>473.76</v>
      </c>
      <c r="J2399" s="0">
        <v>0</v>
      </c>
    </row>
    <row r="2400" spans="1:10" customHeight="0">
      <c r="A2400" s="0">
        <f>HYPERLINK("https://dl.dropboxusercontent.com/scl/fi/5mfn05rtqf45usinx71sy/iowavictor2.0poloaf63878.jpg?rlkey=fezlxngt4lumcb9fd3w0rg5lt&amp;dl=0","Click to download Image")</f>
      </c>
      <c r="B2400" s="0">
        <f>HYPERLINK("https://dl.dropboxusercontent.com/scl/fi/fbp8bvgw5g2i93grch2vd/mens-polo-size-chartsbrent.jpg?rlkey=rpxyawf7o9i3b2ri9qpnyfutr&amp;dl=0","Click to download SizeChart")</f>
      </c>
      <c r="C2400" s="0" t="inlineStr">
        <is>
          <t>Victor Mens Golf Polo</t>
        </is>
      </c>
      <c r="D2400" s="1">
        <v>138519</v>
      </c>
      <c r="E2400" s="0" t="inlineStr">
        <is>
          <t>IOWA VIC2.0 M GY:138519A-S</t>
        </is>
      </c>
      <c r="F2400" s="2">
        <v>800138519043</v>
      </c>
      <c r="G2400" s="0" t="inlineStr">
        <is>
          <t>MENS</t>
        </is>
      </c>
      <c r="H2400" s="0" t="inlineStr">
        <is>
          <t>S</t>
        </is>
      </c>
      <c r="I2400" s="0">
        <v>40.98</v>
      </c>
      <c r="J2400" s="0">
        <v>2</v>
      </c>
    </row>
    <row r="2401" spans="1:10" customHeight="0">
      <c r="A2401" s="0">
        <f>HYPERLINK("https://dl.dropboxusercontent.com/scl/fi/5mfn05rtqf45usinx71sy/iowavictor2.0poloaf63878.jpg?rlkey=fezlxngt4lumcb9fd3w0rg5lt&amp;dl=0","Click to download Image")</f>
      </c>
      <c r="B2401" s="0">
        <f>HYPERLINK("https://dl.dropboxusercontent.com/scl/fi/fbp8bvgw5g2i93grch2vd/mens-polo-size-chartsbrent.jpg?rlkey=rpxyawf7o9i3b2ri9qpnyfutr&amp;dl=0","Click to download SizeChart")</f>
      </c>
      <c r="C2401" s="0" t="inlineStr">
        <is>
          <t>Victor Mens Golf Polo</t>
        </is>
      </c>
      <c r="D2401" s="1">
        <v>138519</v>
      </c>
      <c r="E2401" s="0" t="inlineStr">
        <is>
          <t>IOWA VIC2.0 M GY:138519B-M</t>
        </is>
      </c>
      <c r="F2401" s="2">
        <v>800138519050</v>
      </c>
      <c r="G2401" s="0" t="inlineStr">
        <is>
          <t>MENS</t>
        </is>
      </c>
      <c r="H2401" s="0" t="inlineStr">
        <is>
          <t>M</t>
        </is>
      </c>
      <c r="I2401" s="0">
        <v>40.98</v>
      </c>
      <c r="J2401" s="0">
        <v>3</v>
      </c>
    </row>
    <row r="2402" spans="1:10" customHeight="0">
      <c r="A2402" s="0">
        <f>HYPERLINK("https://dl.dropboxusercontent.com/scl/fi/5mfn05rtqf45usinx71sy/iowavictor2.0poloaf63878.jpg?rlkey=fezlxngt4lumcb9fd3w0rg5lt&amp;dl=0","Click to download Image")</f>
      </c>
      <c r="B2402" s="0">
        <f>HYPERLINK("https://dl.dropboxusercontent.com/scl/fi/fbp8bvgw5g2i93grch2vd/mens-polo-size-chartsbrent.jpg?rlkey=rpxyawf7o9i3b2ri9qpnyfutr&amp;dl=0","Click to download SizeChart")</f>
      </c>
      <c r="C2402" s="0" t="inlineStr">
        <is>
          <t>Victor Mens Golf Polo</t>
        </is>
      </c>
      <c r="D2402" s="1">
        <v>138519</v>
      </c>
      <c r="E2402" s="0" t="inlineStr">
        <is>
          <t>IOWA VIC2.0 M GY:138519C-L</t>
        </is>
      </c>
      <c r="F2402" s="2">
        <v>800138519067</v>
      </c>
      <c r="G2402" s="0" t="inlineStr">
        <is>
          <t>MENS</t>
        </is>
      </c>
      <c r="H2402" s="0" t="inlineStr">
        <is>
          <t>L</t>
        </is>
      </c>
      <c r="I2402" s="0">
        <v>40.98</v>
      </c>
      <c r="J2402" s="0">
        <v>0</v>
      </c>
    </row>
    <row r="2403" spans="1:10" customHeight="0">
      <c r="A2403" s="0">
        <f>HYPERLINK("https://dl.dropboxusercontent.com/scl/fi/5mfn05rtqf45usinx71sy/iowavictor2.0poloaf63878.jpg?rlkey=fezlxngt4lumcb9fd3w0rg5lt&amp;dl=0","Click to download Image")</f>
      </c>
      <c r="B2403" s="0">
        <f>HYPERLINK("https://dl.dropboxusercontent.com/scl/fi/fbp8bvgw5g2i93grch2vd/mens-polo-size-chartsbrent.jpg?rlkey=rpxyawf7o9i3b2ri9qpnyfutr&amp;dl=0","Click to download SizeChart")</f>
      </c>
      <c r="C2403" s="0" t="inlineStr">
        <is>
          <t>Victor Mens Golf Polo</t>
        </is>
      </c>
      <c r="D2403" s="1">
        <v>138519</v>
      </c>
      <c r="E2403" s="0" t="inlineStr">
        <is>
          <t>IOWA VIC2.0 M GY:138519D-XL</t>
        </is>
      </c>
      <c r="F2403" s="2">
        <v>800138519074</v>
      </c>
      <c r="G2403" s="0" t="inlineStr">
        <is>
          <t>MENS</t>
        </is>
      </c>
      <c r="H2403" s="0" t="inlineStr">
        <is>
          <t>XL</t>
        </is>
      </c>
      <c r="I2403" s="0">
        <v>40.98</v>
      </c>
      <c r="J2403" s="0">
        <v>1</v>
      </c>
    </row>
    <row r="2404" spans="1:10" customHeight="0">
      <c r="A2404" s="0">
        <f>HYPERLINK("https://dl.dropboxusercontent.com/scl/fi/5mfn05rtqf45usinx71sy/iowavictor2.0poloaf63878.jpg?rlkey=fezlxngt4lumcb9fd3w0rg5lt&amp;dl=0","Click to download Image")</f>
      </c>
      <c r="B2404" s="0">
        <f>HYPERLINK("https://dl.dropboxusercontent.com/scl/fi/fbp8bvgw5g2i93grch2vd/mens-polo-size-chartsbrent.jpg?rlkey=rpxyawf7o9i3b2ri9qpnyfutr&amp;dl=0","Click to download SizeChart")</f>
      </c>
      <c r="C2404" s="0" t="inlineStr">
        <is>
          <t>Victor Mens Golf Polo</t>
        </is>
      </c>
      <c r="D2404" s="1">
        <v>138519</v>
      </c>
      <c r="E2404" s="0" t="inlineStr">
        <is>
          <t>IOWA VIC2.0 M GY:138519E-2XL</t>
        </is>
      </c>
      <c r="F2404" s="2">
        <v>800138519081</v>
      </c>
      <c r="G2404" s="0" t="inlineStr">
        <is>
          <t>MENS</t>
        </is>
      </c>
      <c r="H2404" s="0" t="inlineStr">
        <is>
          <t>2XL</t>
        </is>
      </c>
      <c r="I2404" s="0">
        <v>42.98</v>
      </c>
      <c r="J2404" s="0">
        <v>2</v>
      </c>
    </row>
    <row r="2405" spans="1:10" customHeight="0">
      <c r="A2405" s="0">
        <f>HYPERLINK("https://dl.dropboxusercontent.com/scl/fi/5mfn05rtqf45usinx71sy/iowavictor2.0poloaf63878.jpg?rlkey=fezlxngt4lumcb9fd3w0rg5lt&amp;dl=0","Click to download Image")</f>
      </c>
      <c r="B2405" s="0">
        <f>HYPERLINK("https://dl.dropboxusercontent.com/scl/fi/fbp8bvgw5g2i93grch2vd/mens-polo-size-chartsbrent.jpg?rlkey=rpxyawf7o9i3b2ri9qpnyfutr&amp;dl=0","Click to download SizeChart")</f>
      </c>
      <c r="C2405" s="0" t="inlineStr">
        <is>
          <t>Victor Mens Golf Polo</t>
        </is>
      </c>
      <c r="D2405" s="1">
        <v>138519</v>
      </c>
      <c r="E2405" s="0" t="inlineStr">
        <is>
          <t>IOWA VIC2.0 M GY:138519F-3XL</t>
        </is>
      </c>
      <c r="F2405" s="2">
        <v>800138519098</v>
      </c>
      <c r="G2405" s="0" t="inlineStr">
        <is>
          <t>MENS</t>
        </is>
      </c>
      <c r="H2405" s="0" t="inlineStr">
        <is>
          <t>3XL</t>
        </is>
      </c>
      <c r="I2405" s="0">
        <v>42.98</v>
      </c>
      <c r="J2405" s="0">
        <v>1</v>
      </c>
    </row>
    <row r="2406" spans="1:10" customHeight="0">
      <c r="A2406" s="0">
        <f>HYPERLINK("https://dl.dropboxusercontent.com/scl/fi/uhln8kod98kpds399fjdo/ia-af.jpg?rlkey=1otiszrozqynoi0g34z3ojtaq&amp;dl=0","Click to download Image")</f>
      </c>
      <c r="B2406" s="0">
        <f>HYPERLINK("https://dl.dropboxusercontent.com/scl/fi/7eqqfhfkzxwbnbxw9foa4/mens-polo-size-chartsbruce.jpg?rlkey=e2vayzos0zzkth50bvlogdjit&amp;dl=0","Click to download SizeChart")</f>
      </c>
      <c r="C2406" s="0" t="inlineStr">
        <is>
          <t>Sherwood Men's Golf Polo</t>
        </is>
      </c>
      <c r="D2406" s="1">
        <v>113903</v>
      </c>
      <c r="E2406" s="0" t="inlineStr">
        <is>
          <t>IOWA SHERWOOD M BLACK:113903A-S</t>
        </is>
      </c>
      <c r="F2406" s="2">
        <v>800113903041</v>
      </c>
      <c r="G2406" s="0" t="inlineStr">
        <is>
          <t>MENS</t>
        </is>
      </c>
      <c r="H2406" s="0" t="inlineStr">
        <is>
          <t>S</t>
        </is>
      </c>
      <c r="I2406" s="0">
        <v>40.99</v>
      </c>
      <c r="J2406" s="0">
        <v>12</v>
      </c>
    </row>
    <row r="2407" spans="1:10" customHeight="0">
      <c r="A2407" s="0">
        <f>HYPERLINK("https://dl.dropboxusercontent.com/scl/fi/uhln8kod98kpds399fjdo/ia-af.jpg?rlkey=1otiszrozqynoi0g34z3ojtaq&amp;dl=0","Click to download Image")</f>
      </c>
      <c r="B2407" s="0">
        <f>HYPERLINK("https://dl.dropboxusercontent.com/scl/fi/7eqqfhfkzxwbnbxw9foa4/mens-polo-size-chartsbruce.jpg?rlkey=e2vayzos0zzkth50bvlogdjit&amp;dl=0","Click to download SizeChart")</f>
      </c>
      <c r="C2407" s="0" t="inlineStr">
        <is>
          <t>Sherwood Men's Golf Polo</t>
        </is>
      </c>
      <c r="D2407" s="1">
        <v>113903</v>
      </c>
      <c r="E2407" s="0" t="inlineStr">
        <is>
          <t>IOWA SHERWOOD M BLACK:113903B-M</t>
        </is>
      </c>
      <c r="F2407" s="2">
        <v>800113903058</v>
      </c>
      <c r="G2407" s="0" t="inlineStr">
        <is>
          <t>MENS</t>
        </is>
      </c>
      <c r="H2407" s="0" t="inlineStr">
        <is>
          <t>M</t>
        </is>
      </c>
      <c r="I2407" s="0">
        <v>40.99</v>
      </c>
      <c r="J2407" s="0">
        <v>18</v>
      </c>
    </row>
    <row r="2408" spans="1:10" customHeight="0">
      <c r="A2408" s="0">
        <f>HYPERLINK("https://dl.dropboxusercontent.com/scl/fi/uhln8kod98kpds399fjdo/ia-af.jpg?rlkey=1otiszrozqynoi0g34z3ojtaq&amp;dl=0","Click to download Image")</f>
      </c>
      <c r="B2408" s="0">
        <f>HYPERLINK("https://dl.dropboxusercontent.com/scl/fi/7eqqfhfkzxwbnbxw9foa4/mens-polo-size-chartsbruce.jpg?rlkey=e2vayzos0zzkth50bvlogdjit&amp;dl=0","Click to download SizeChart")</f>
      </c>
      <c r="C2408" s="0" t="inlineStr">
        <is>
          <t>Sherwood Men's Golf Polo</t>
        </is>
      </c>
      <c r="D2408" s="1">
        <v>113903</v>
      </c>
      <c r="E2408" s="0" t="inlineStr">
        <is>
          <t>IOWA SHERWOOD M BLACK:113903C-L</t>
        </is>
      </c>
      <c r="F2408" s="2">
        <v>800113903065</v>
      </c>
      <c r="G2408" s="0" t="inlineStr">
        <is>
          <t>MENS</t>
        </is>
      </c>
      <c r="H2408" s="0" t="inlineStr">
        <is>
          <t>L</t>
        </is>
      </c>
      <c r="I2408" s="0">
        <v>40.99</v>
      </c>
      <c r="J2408" s="0">
        <v>12</v>
      </c>
    </row>
    <row r="2409" spans="1:10" customHeight="0">
      <c r="A2409" s="0">
        <f>HYPERLINK("https://dl.dropboxusercontent.com/scl/fi/uhln8kod98kpds399fjdo/ia-af.jpg?rlkey=1otiszrozqynoi0g34z3ojtaq&amp;dl=0","Click to download Image")</f>
      </c>
      <c r="B2409" s="0">
        <f>HYPERLINK("https://dl.dropboxusercontent.com/scl/fi/7eqqfhfkzxwbnbxw9foa4/mens-polo-size-chartsbruce.jpg?rlkey=e2vayzos0zzkth50bvlogdjit&amp;dl=0","Click to download SizeChart")</f>
      </c>
      <c r="C2409" s="0" t="inlineStr">
        <is>
          <t>Sherwood Men's Golf Polo</t>
        </is>
      </c>
      <c r="D2409" s="1">
        <v>113903</v>
      </c>
      <c r="E2409" s="0" t="inlineStr">
        <is>
          <t>IOWA SHERWOOD M BLACK:113903D-XL</t>
        </is>
      </c>
      <c r="F2409" s="2">
        <v>800113903072</v>
      </c>
      <c r="G2409" s="0" t="inlineStr">
        <is>
          <t>MENS</t>
        </is>
      </c>
      <c r="H2409" s="0" t="inlineStr">
        <is>
          <t>XL</t>
        </is>
      </c>
      <c r="I2409" s="0">
        <v>40.99</v>
      </c>
      <c r="J2409" s="0">
        <v>0</v>
      </c>
    </row>
    <row r="2410" spans="1:10" customHeight="0">
      <c r="A2410" s="0">
        <f>HYPERLINK("https://dl.dropboxusercontent.com/scl/fi/uhln8kod98kpds399fjdo/ia-af.jpg?rlkey=1otiszrozqynoi0g34z3ojtaq&amp;dl=0","Click to download Image")</f>
      </c>
      <c r="B2410" s="0">
        <f>HYPERLINK("https://dl.dropboxusercontent.com/scl/fi/7eqqfhfkzxwbnbxw9foa4/mens-polo-size-chartsbruce.jpg?rlkey=e2vayzos0zzkth50bvlogdjit&amp;dl=0","Click to download SizeChart")</f>
      </c>
      <c r="C2410" s="0" t="inlineStr">
        <is>
          <t>Sherwood Men's Golf Polo</t>
        </is>
      </c>
      <c r="D2410" s="1">
        <v>113903</v>
      </c>
      <c r="E2410" s="0" t="inlineStr">
        <is>
          <t>IOWA SHERWOOD M BLACK:113903E-2XL</t>
        </is>
      </c>
      <c r="F2410" s="2">
        <v>800113903089</v>
      </c>
      <c r="G2410" s="0" t="inlineStr">
        <is>
          <t>MENS</t>
        </is>
      </c>
      <c r="H2410" s="0" t="inlineStr">
        <is>
          <t>2XL</t>
        </is>
      </c>
      <c r="I2410" s="0">
        <v>42.99</v>
      </c>
      <c r="J2410" s="0">
        <v>8</v>
      </c>
    </row>
    <row r="2411" spans="1:10" customHeight="0">
      <c r="A2411" s="0">
        <f>HYPERLINK("https://dl.dropboxusercontent.com/scl/fi/uhln8kod98kpds399fjdo/ia-af.jpg?rlkey=1otiszrozqynoi0g34z3ojtaq&amp;dl=0","Click to download Image")</f>
      </c>
      <c r="B2411" s="0">
        <f>HYPERLINK("https://dl.dropboxusercontent.com/scl/fi/7eqqfhfkzxwbnbxw9foa4/mens-polo-size-chartsbruce.jpg?rlkey=e2vayzos0zzkth50bvlogdjit&amp;dl=0","Click to download SizeChart")</f>
      </c>
      <c r="C2411" s="0" t="inlineStr">
        <is>
          <t>Sherwood Men's Golf Polo</t>
        </is>
      </c>
      <c r="D2411" s="1">
        <v>113903</v>
      </c>
      <c r="E2411" s="0" t="inlineStr">
        <is>
          <t>IOWA SHERWOOD M BLACK:113903F-3XL</t>
        </is>
      </c>
      <c r="F2411" s="2">
        <v>800113903096</v>
      </c>
      <c r="G2411" s="0" t="inlineStr">
        <is>
          <t>MENS</t>
        </is>
      </c>
      <c r="H2411" s="0" t="inlineStr">
        <is>
          <t>3XL</t>
        </is>
      </c>
      <c r="I2411" s="0">
        <v>42.99</v>
      </c>
      <c r="J2411" s="0">
        <v>3</v>
      </c>
    </row>
    <row r="2412" spans="1:10" customHeight="0">
      <c r="A2412" s="0">
        <f>HYPERLINK("https://dl.dropboxusercontent.com/scl/fi/uhln8kod98kpds399fjdo/ia-af.jpg?rlkey=1otiszrozqynoi0g34z3ojtaq&amp;dl=0","Click to download Image")</f>
      </c>
      <c r="B2412" s="0">
        <f>HYPERLINK("https://dl.dropboxusercontent.com/scl/fi/7eqqfhfkzxwbnbxw9foa4/mens-polo-size-chartsbruce.jpg?rlkey=e2vayzos0zzkth50bvlogdjit&amp;dl=0","Click to download SizeChart")</f>
      </c>
      <c r="C2412" s="0" t="inlineStr">
        <is>
          <t>Sherwood Men's Golf Polo</t>
        </is>
      </c>
      <c r="D2412" s="1">
        <v>113903</v>
      </c>
      <c r="E2412" s="0" t="inlineStr">
        <is>
          <t>IOWA SHERWOOD M BLACK 12 PACK:113903Z-12PK</t>
        </is>
      </c>
      <c r="F2412" s="2">
        <v>800113903997</v>
      </c>
      <c r="G2412" s="0" t="inlineStr">
        <is>
          <t>MENS</t>
        </is>
      </c>
      <c r="H2412" s="0" t="inlineStr">
        <is>
          <t>12 PACK</t>
        </is>
      </c>
      <c r="I2412" s="0">
        <v>393.6</v>
      </c>
      <c r="J2412" s="0">
        <v>0</v>
      </c>
    </row>
    <row r="2413" spans="1:10" customHeight="0">
      <c r="A2413" s="0">
        <f>HYPERLINK("https://dl.dropboxusercontent.com/scl/fi/abvl9cxt8w4sml8twzhok/ia2-af.jpg?rlkey=01oq1d6cdzhfpkhvc1sj4s3aq&amp;dl=0","Click to download Image")</f>
      </c>
      <c r="B2413" s="0">
        <f>HYPERLINK("https://dl.dropboxusercontent.com/scl/fi/7eqqfhfkzxwbnbxw9foa4/mens-polo-size-chartsbruce.jpg?rlkey=e2vayzos0zzkth50bvlogdjit&amp;dl=0","Click to download SizeChart")</f>
      </c>
      <c r="C2413" s="0" t="inlineStr">
        <is>
          <t>Sherwood Men's Golf Polo</t>
        </is>
      </c>
      <c r="D2413" s="1">
        <v>138518</v>
      </c>
      <c r="E2413" s="0" t="inlineStr">
        <is>
          <t>IOWA SHERW2 M BK:138518A-S</t>
        </is>
      </c>
      <c r="F2413" s="2">
        <v>800138518046</v>
      </c>
      <c r="G2413" s="0" t="inlineStr">
        <is>
          <t>MENS</t>
        </is>
      </c>
      <c r="H2413" s="0" t="inlineStr">
        <is>
          <t>S</t>
        </is>
      </c>
      <c r="I2413" s="0">
        <v>40.99</v>
      </c>
      <c r="J2413" s="0">
        <v>0</v>
      </c>
    </row>
    <row r="2414" spans="1:10" customHeight="0">
      <c r="A2414" s="0">
        <f>HYPERLINK("https://dl.dropboxusercontent.com/scl/fi/abvl9cxt8w4sml8twzhok/ia2-af.jpg?rlkey=01oq1d6cdzhfpkhvc1sj4s3aq&amp;dl=0","Click to download Image")</f>
      </c>
      <c r="B2414" s="0">
        <f>HYPERLINK("https://dl.dropboxusercontent.com/scl/fi/7eqqfhfkzxwbnbxw9foa4/mens-polo-size-chartsbruce.jpg?rlkey=e2vayzos0zzkth50bvlogdjit&amp;dl=0","Click to download SizeChart")</f>
      </c>
      <c r="C2414" s="0" t="inlineStr">
        <is>
          <t>Sherwood Men's Golf Polo</t>
        </is>
      </c>
      <c r="D2414" s="1">
        <v>138518</v>
      </c>
      <c r="E2414" s="0" t="inlineStr">
        <is>
          <t>IOWA SHERW2 M BK:138518B-M</t>
        </is>
      </c>
      <c r="F2414" s="2">
        <v>800138518053</v>
      </c>
      <c r="G2414" s="0" t="inlineStr">
        <is>
          <t>MENS</t>
        </is>
      </c>
      <c r="H2414" s="0" t="inlineStr">
        <is>
          <t>M</t>
        </is>
      </c>
      <c r="I2414" s="0">
        <v>40.99</v>
      </c>
      <c r="J2414" s="0">
        <v>0</v>
      </c>
    </row>
    <row r="2415" spans="1:10" customHeight="0">
      <c r="A2415" s="0">
        <f>HYPERLINK("https://dl.dropboxusercontent.com/scl/fi/abvl9cxt8w4sml8twzhok/ia2-af.jpg?rlkey=01oq1d6cdzhfpkhvc1sj4s3aq&amp;dl=0","Click to download Image")</f>
      </c>
      <c r="B2415" s="0">
        <f>HYPERLINK("https://dl.dropboxusercontent.com/scl/fi/7eqqfhfkzxwbnbxw9foa4/mens-polo-size-chartsbruce.jpg?rlkey=e2vayzos0zzkth50bvlogdjit&amp;dl=0","Click to download SizeChart")</f>
      </c>
      <c r="C2415" s="0" t="inlineStr">
        <is>
          <t>Sherwood Men's Golf Polo</t>
        </is>
      </c>
      <c r="D2415" s="1">
        <v>138518</v>
      </c>
      <c r="E2415" s="0" t="inlineStr">
        <is>
          <t>IOWA SHERW2 M BK:138518C-L</t>
        </is>
      </c>
      <c r="F2415" s="2">
        <v>800138518060</v>
      </c>
      <c r="G2415" s="0" t="inlineStr">
        <is>
          <t>MENS</t>
        </is>
      </c>
      <c r="H2415" s="0" t="inlineStr">
        <is>
          <t>L</t>
        </is>
      </c>
      <c r="I2415" s="0">
        <v>40.99</v>
      </c>
      <c r="J2415" s="0">
        <v>7</v>
      </c>
    </row>
    <row r="2416" spans="1:10" customHeight="0">
      <c r="A2416" s="0">
        <f>HYPERLINK("https://dl.dropboxusercontent.com/scl/fi/abvl9cxt8w4sml8twzhok/ia2-af.jpg?rlkey=01oq1d6cdzhfpkhvc1sj4s3aq&amp;dl=0","Click to download Image")</f>
      </c>
      <c r="B2416" s="0">
        <f>HYPERLINK("https://dl.dropboxusercontent.com/scl/fi/7eqqfhfkzxwbnbxw9foa4/mens-polo-size-chartsbruce.jpg?rlkey=e2vayzos0zzkth50bvlogdjit&amp;dl=0","Click to download SizeChart")</f>
      </c>
      <c r="C2416" s="0" t="inlineStr">
        <is>
          <t>Sherwood Men's Golf Polo</t>
        </is>
      </c>
      <c r="D2416" s="1">
        <v>138518</v>
      </c>
      <c r="E2416" s="0" t="inlineStr">
        <is>
          <t>IOWA SHERW2 M BK:138518D-XL</t>
        </is>
      </c>
      <c r="F2416" s="2">
        <v>800138518077</v>
      </c>
      <c r="G2416" s="0" t="inlineStr">
        <is>
          <t>MENS</t>
        </is>
      </c>
      <c r="H2416" s="0" t="inlineStr">
        <is>
          <t>XL</t>
        </is>
      </c>
      <c r="I2416" s="0">
        <v>40.99</v>
      </c>
      <c r="J2416" s="0">
        <v>16</v>
      </c>
    </row>
    <row r="2417" spans="1:10" customHeight="0">
      <c r="A2417" s="0">
        <f>HYPERLINK("https://dl.dropboxusercontent.com/scl/fi/abvl9cxt8w4sml8twzhok/ia2-af.jpg?rlkey=01oq1d6cdzhfpkhvc1sj4s3aq&amp;dl=0","Click to download Image")</f>
      </c>
      <c r="B2417" s="0">
        <f>HYPERLINK("https://dl.dropboxusercontent.com/scl/fi/7eqqfhfkzxwbnbxw9foa4/mens-polo-size-chartsbruce.jpg?rlkey=e2vayzos0zzkth50bvlogdjit&amp;dl=0","Click to download SizeChart")</f>
      </c>
      <c r="C2417" s="0" t="inlineStr">
        <is>
          <t>Sherwood Men's Golf Polo</t>
        </is>
      </c>
      <c r="D2417" s="1">
        <v>138518</v>
      </c>
      <c r="E2417" s="0" t="inlineStr">
        <is>
          <t>IOWA SHERW2 M BK:138518E-2XL</t>
        </is>
      </c>
      <c r="F2417" s="2">
        <v>800138518084</v>
      </c>
      <c r="G2417" s="0" t="inlineStr">
        <is>
          <t>MENS</t>
        </is>
      </c>
      <c r="H2417" s="0" t="inlineStr">
        <is>
          <t>2XL</t>
        </is>
      </c>
      <c r="I2417" s="0">
        <v>42.99</v>
      </c>
      <c r="J2417" s="0">
        <v>0</v>
      </c>
    </row>
    <row r="2418" spans="1:10" customHeight="0">
      <c r="A2418" s="0">
        <f>HYPERLINK("https://dl.dropboxusercontent.com/scl/fi/abvl9cxt8w4sml8twzhok/ia2-af.jpg?rlkey=01oq1d6cdzhfpkhvc1sj4s3aq&amp;dl=0","Click to download Image")</f>
      </c>
      <c r="B2418" s="0">
        <f>HYPERLINK("https://dl.dropboxusercontent.com/scl/fi/7eqqfhfkzxwbnbxw9foa4/mens-polo-size-chartsbruce.jpg?rlkey=e2vayzos0zzkth50bvlogdjit&amp;dl=0","Click to download SizeChart")</f>
      </c>
      <c r="C2418" s="0" t="inlineStr">
        <is>
          <t>Sherwood Men's Golf Polo</t>
        </is>
      </c>
      <c r="D2418" s="1">
        <v>138518</v>
      </c>
      <c r="E2418" s="0" t="inlineStr">
        <is>
          <t>IOWA SHERW2 M BK:138518F-3XL</t>
        </is>
      </c>
      <c r="F2418" s="2">
        <v>800138518091</v>
      </c>
      <c r="G2418" s="0" t="inlineStr">
        <is>
          <t>MENS</t>
        </is>
      </c>
      <c r="H2418" s="0" t="inlineStr">
        <is>
          <t>3XL</t>
        </is>
      </c>
      <c r="I2418" s="0">
        <v>393.6</v>
      </c>
      <c r="J2418" s="0">
        <v>0</v>
      </c>
    </row>
    <row r="2419" spans="1:10" customHeight="0">
      <c r="A2419" s="0">
        <f>HYPERLINK("https://dl.dropboxusercontent.com/scl/fi/lc44di1rgmqoom5z5kd4b/108196-af.jpg?rlkey=hd05pevjt8rbaug3eolm1jxgf&amp;dl=0","Click to download Image")</f>
      </c>
      <c r="C2419" s="0" t="inlineStr">
        <is>
          <t>Mankato Women's Cap</t>
        </is>
      </c>
      <c r="D2419" s="1">
        <v>108196</v>
      </c>
      <c r="E2419" s="0" t="inlineStr">
        <is>
          <t>IA MANKATO:108196</t>
        </is>
      </c>
      <c r="F2419" s="2">
        <v>700108196017</v>
      </c>
      <c r="G2419" s="0" t="inlineStr">
        <is>
          <t>WOMENS</t>
        </is>
      </c>
      <c r="H2419" s="0" t="inlineStr">
        <is>
          <t>WOMENS</t>
        </is>
      </c>
      <c r="I2419" s="0">
        <v>23.99</v>
      </c>
      <c r="J2419" s="0">
        <v>104</v>
      </c>
    </row>
    <row r="2420" spans="1:10" customHeight="0">
      <c r="A2420" s="0">
        <f>HYPERLINK("https://dl.dropboxusercontent.com/scl/fi/3x1p81hwe1672vi051sjg/109594-af.jpg?rlkey=eib5ngi5x48rb6908mjr0y8rk&amp;dl=0","Click to download Image")</f>
      </c>
      <c r="B2420" s="0">
        <f>HYPERLINK("https://dl.dropboxusercontent.com/scl/fi/btrdl5a1gmx0o911fmpyj/graphic-update22022-youth.jpg?rlkey=7rj398gp1064e7ppzzk3nk2b7&amp;dl=0","Click to download SizeChart")</f>
      </c>
      <c r="C2420" s="0" t="inlineStr">
        <is>
          <t>Memphis Youth Shirt</t>
        </is>
      </c>
      <c r="D2420" s="1">
        <v>109594</v>
      </c>
      <c r="E2420" s="0" t="inlineStr">
        <is>
          <t>IOWA MEMPHIS BLACK:109594B-YS</t>
        </is>
      </c>
      <c r="F2420" s="2">
        <v>800109594017</v>
      </c>
      <c r="G2420" s="0" t="inlineStr">
        <is>
          <t>YOUTH</t>
        </is>
      </c>
      <c r="H2420" s="0" t="inlineStr">
        <is>
          <t>YS</t>
        </is>
      </c>
      <c r="I2420" s="0">
        <v>29.99</v>
      </c>
      <c r="J2420" s="0">
        <v>0</v>
      </c>
    </row>
    <row r="2421" spans="1:10" customHeight="0">
      <c r="A2421" s="0">
        <f>HYPERLINK("https://dl.dropboxusercontent.com/scl/fi/3x1p81hwe1672vi051sjg/109594-af.jpg?rlkey=eib5ngi5x48rb6908mjr0y8rk&amp;dl=0","Click to download Image")</f>
      </c>
      <c r="B2421" s="0">
        <f>HYPERLINK("https://dl.dropboxusercontent.com/scl/fi/btrdl5a1gmx0o911fmpyj/graphic-update22022-youth.jpg?rlkey=7rj398gp1064e7ppzzk3nk2b7&amp;dl=0","Click to download SizeChart")</f>
      </c>
      <c r="C2421" s="0" t="inlineStr">
        <is>
          <t>Memphis Youth Shirt</t>
        </is>
      </c>
      <c r="D2421" s="1">
        <v>109594</v>
      </c>
      <c r="E2421" s="0" t="inlineStr">
        <is>
          <t>IOWA MEMPHIS BLACK:109594C-YM</t>
        </is>
      </c>
      <c r="F2421" s="2">
        <v>800109594024</v>
      </c>
      <c r="G2421" s="0" t="inlineStr">
        <is>
          <t>YOUTH</t>
        </is>
      </c>
      <c r="H2421" s="0" t="inlineStr">
        <is>
          <t>YM</t>
        </is>
      </c>
      <c r="I2421" s="0">
        <v>29.99</v>
      </c>
      <c r="J2421" s="0">
        <v>0</v>
      </c>
    </row>
    <row r="2422" spans="1:10" customHeight="0">
      <c r="A2422" s="0">
        <f>HYPERLINK("https://dl.dropboxusercontent.com/scl/fi/3x1p81hwe1672vi051sjg/109594-af.jpg?rlkey=eib5ngi5x48rb6908mjr0y8rk&amp;dl=0","Click to download Image")</f>
      </c>
      <c r="B2422" s="0">
        <f>HYPERLINK("https://dl.dropboxusercontent.com/scl/fi/btrdl5a1gmx0o911fmpyj/graphic-update22022-youth.jpg?rlkey=7rj398gp1064e7ppzzk3nk2b7&amp;dl=0","Click to download SizeChart")</f>
      </c>
      <c r="C2422" s="0" t="inlineStr">
        <is>
          <t>Memphis Youth Shirt</t>
        </is>
      </c>
      <c r="D2422" s="1">
        <v>109594</v>
      </c>
      <c r="E2422" s="0" t="inlineStr">
        <is>
          <t>IOWA MEMPHIS BLACK:109594D-YL</t>
        </is>
      </c>
      <c r="F2422" s="2">
        <v>800109594031</v>
      </c>
      <c r="G2422" s="0" t="inlineStr">
        <is>
          <t>YOUTH</t>
        </is>
      </c>
      <c r="H2422" s="0" t="inlineStr">
        <is>
          <t>YL</t>
        </is>
      </c>
      <c r="I2422" s="0">
        <v>29.99</v>
      </c>
      <c r="J2422" s="0">
        <v>5</v>
      </c>
    </row>
    <row r="2423" spans="1:10" customHeight="0">
      <c r="A2423" s="0">
        <f>HYPERLINK("https://dl.dropboxusercontent.com/scl/fi/3x1p81hwe1672vi051sjg/109594-af.jpg?rlkey=eib5ngi5x48rb6908mjr0y8rk&amp;dl=0","Click to download Image")</f>
      </c>
      <c r="B2423" s="0">
        <f>HYPERLINK("https://dl.dropboxusercontent.com/scl/fi/btrdl5a1gmx0o911fmpyj/graphic-update22022-youth.jpg?rlkey=7rj398gp1064e7ppzzk3nk2b7&amp;dl=0","Click to download SizeChart")</f>
      </c>
      <c r="C2423" s="0" t="inlineStr">
        <is>
          <t>Memphis Youth Shirt</t>
        </is>
      </c>
      <c r="D2423" s="1">
        <v>109594</v>
      </c>
      <c r="E2423" s="0" t="inlineStr">
        <is>
          <t>IOWA MEMPHIS BLACK:109594E-YXL</t>
        </is>
      </c>
      <c r="F2423" s="2">
        <v>800109594048</v>
      </c>
      <c r="G2423" s="0" t="inlineStr">
        <is>
          <t>YOUTH</t>
        </is>
      </c>
      <c r="H2423" s="0" t="inlineStr">
        <is>
          <t>YXL</t>
        </is>
      </c>
      <c r="I2423" s="0">
        <v>29.99</v>
      </c>
      <c r="J2423" s="0">
        <v>27</v>
      </c>
    </row>
    <row r="2424" spans="1:10" customHeight="0">
      <c r="A2424" s="0">
        <f>HYPERLINK("https://dl.dropboxusercontent.com/scl/fi/3x1p81hwe1672vi051sjg/109594-af.jpg?rlkey=eib5ngi5x48rb6908mjr0y8rk&amp;dl=0","Click to download Image")</f>
      </c>
      <c r="B2424" s="0">
        <f>HYPERLINK("https://dl.dropboxusercontent.com/scl/fi/btrdl5a1gmx0o911fmpyj/graphic-update22022-youth.jpg?rlkey=7rj398gp1064e7ppzzk3nk2b7&amp;dl=0","Click to download SizeChart")</f>
      </c>
      <c r="C2424" s="0" t="inlineStr">
        <is>
          <t>Memphis Youth Shirt</t>
        </is>
      </c>
      <c r="D2424" s="1">
        <v>109594</v>
      </c>
      <c r="E2424" s="0" t="inlineStr">
        <is>
          <t>IOWA MEMPHIS BLACK 12 PACK:109594Z-12PK</t>
        </is>
      </c>
      <c r="F2424" s="2">
        <v>800109594994</v>
      </c>
      <c r="G2424" s="0" t="inlineStr">
        <is>
          <t>YOUTH</t>
        </is>
      </c>
      <c r="H2424" s="0" t="inlineStr">
        <is>
          <t>12 PACK</t>
        </is>
      </c>
      <c r="I2424" s="0">
        <v>335.88</v>
      </c>
      <c r="J2424" s="0">
        <v>0</v>
      </c>
    </row>
    <row r="2425" spans="1:10" customHeight="0">
      <c r="A2425" s="0">
        <f>HYPERLINK("https://dl.dropboxusercontent.com/scl/fi/8d7i9fr5ixn914oq7qfc1/108166-af.jpg?rlkey=lirzoy7j1x6fahpwwe8855dqk&amp;dl=0","Click to download Image")</f>
      </c>
      <c r="B2425" s="0">
        <f>HYPERLINK("https://dl.dropboxusercontent.com/scl/fi/g3bqfpd5q3pyu7wyj5y09/womens-size-chartsmisty.jpg?rlkey=4e44r3konouse2vce1kufknj9&amp;dl=0","Click to download SizeChart")</f>
      </c>
      <c r="C2425" s="0" t="inlineStr">
        <is>
          <t>Misty Womens Shorts</t>
        </is>
      </c>
      <c r="D2425" s="1">
        <v>108166</v>
      </c>
      <c r="E2425" s="0" t="inlineStr">
        <is>
          <t>IOWA MISTY GREY:108166A-S</t>
        </is>
      </c>
      <c r="F2425" s="2">
        <v>800108166017</v>
      </c>
      <c r="G2425" s="0" t="inlineStr">
        <is>
          <t>WOMENS</t>
        </is>
      </c>
      <c r="H2425" s="0" t="inlineStr">
        <is>
          <t>S</t>
        </is>
      </c>
      <c r="I2425" s="0">
        <v>26.99</v>
      </c>
      <c r="J2425" s="0">
        <v>0</v>
      </c>
    </row>
    <row r="2426" spans="1:10" customHeight="0">
      <c r="A2426" s="0">
        <f>HYPERLINK("https://dl.dropboxusercontent.com/scl/fi/8d7i9fr5ixn914oq7qfc1/108166-af.jpg?rlkey=lirzoy7j1x6fahpwwe8855dqk&amp;dl=0","Click to download Image")</f>
      </c>
      <c r="B2426" s="0">
        <f>HYPERLINK("https://dl.dropboxusercontent.com/scl/fi/g3bqfpd5q3pyu7wyj5y09/womens-size-chartsmisty.jpg?rlkey=4e44r3konouse2vce1kufknj9&amp;dl=0","Click to download SizeChart")</f>
      </c>
      <c r="C2426" s="0" t="inlineStr">
        <is>
          <t>Misty Womens Shorts</t>
        </is>
      </c>
      <c r="D2426" s="1">
        <v>108166</v>
      </c>
      <c r="E2426" s="0" t="inlineStr">
        <is>
          <t>IOWA MISTY GREY:108166B-M</t>
        </is>
      </c>
      <c r="F2426" s="2">
        <v>800108166024</v>
      </c>
      <c r="G2426" s="0" t="inlineStr">
        <is>
          <t>WOMENS</t>
        </is>
      </c>
      <c r="H2426" s="0" t="inlineStr">
        <is>
          <t>M</t>
        </is>
      </c>
      <c r="I2426" s="0">
        <v>26.99</v>
      </c>
      <c r="J2426" s="0">
        <v>0</v>
      </c>
    </row>
    <row r="2427" spans="1:10" customHeight="0">
      <c r="A2427" s="0">
        <f>HYPERLINK("https://dl.dropboxusercontent.com/scl/fi/8d7i9fr5ixn914oq7qfc1/108166-af.jpg?rlkey=lirzoy7j1x6fahpwwe8855dqk&amp;dl=0","Click to download Image")</f>
      </c>
      <c r="B2427" s="0">
        <f>HYPERLINK("https://dl.dropboxusercontent.com/scl/fi/g3bqfpd5q3pyu7wyj5y09/womens-size-chartsmisty.jpg?rlkey=4e44r3konouse2vce1kufknj9&amp;dl=0","Click to download SizeChart")</f>
      </c>
      <c r="C2427" s="0" t="inlineStr">
        <is>
          <t>Misty Womens Shorts</t>
        </is>
      </c>
      <c r="D2427" s="1">
        <v>108166</v>
      </c>
      <c r="E2427" s="0" t="inlineStr">
        <is>
          <t>IOWA MISTY GREY:108166C-L</t>
        </is>
      </c>
      <c r="F2427" s="2">
        <v>800108166031</v>
      </c>
      <c r="G2427" s="0" t="inlineStr">
        <is>
          <t>WOMENS</t>
        </is>
      </c>
      <c r="H2427" s="0" t="inlineStr">
        <is>
          <t>L</t>
        </is>
      </c>
      <c r="I2427" s="0">
        <v>26.99</v>
      </c>
      <c r="J2427" s="0">
        <v>17</v>
      </c>
    </row>
    <row r="2428" spans="1:10" customHeight="0">
      <c r="A2428" s="0">
        <f>HYPERLINK("https://dl.dropboxusercontent.com/scl/fi/8d7i9fr5ixn914oq7qfc1/108166-af.jpg?rlkey=lirzoy7j1x6fahpwwe8855dqk&amp;dl=0","Click to download Image")</f>
      </c>
      <c r="B2428" s="0">
        <f>HYPERLINK("https://dl.dropboxusercontent.com/scl/fi/g3bqfpd5q3pyu7wyj5y09/womens-size-chartsmisty.jpg?rlkey=4e44r3konouse2vce1kufknj9&amp;dl=0","Click to download SizeChart")</f>
      </c>
      <c r="C2428" s="0" t="inlineStr">
        <is>
          <t>Misty Womens Shorts</t>
        </is>
      </c>
      <c r="D2428" s="1">
        <v>108166</v>
      </c>
      <c r="E2428" s="0" t="inlineStr">
        <is>
          <t>IOWA MISTY GREY:108166D-XL</t>
        </is>
      </c>
      <c r="F2428" s="2">
        <v>800108166048</v>
      </c>
      <c r="G2428" s="0" t="inlineStr">
        <is>
          <t>WOMENS</t>
        </is>
      </c>
      <c r="H2428" s="0" t="inlineStr">
        <is>
          <t>XL</t>
        </is>
      </c>
      <c r="I2428" s="0">
        <v>26.99</v>
      </c>
      <c r="J2428" s="0">
        <v>5</v>
      </c>
    </row>
    <row r="2429" spans="1:10" customHeight="0">
      <c r="A2429" s="0">
        <f>HYPERLINK("https://dl.dropboxusercontent.com/scl/fi/8d7i9fr5ixn914oq7qfc1/108166-af.jpg?rlkey=lirzoy7j1x6fahpwwe8855dqk&amp;dl=0","Click to download Image")</f>
      </c>
      <c r="B2429" s="0">
        <f>HYPERLINK("https://dl.dropboxusercontent.com/scl/fi/g3bqfpd5q3pyu7wyj5y09/womens-size-chartsmisty.jpg?rlkey=4e44r3konouse2vce1kufknj9&amp;dl=0","Click to download SizeChart")</f>
      </c>
      <c r="C2429" s="0" t="inlineStr">
        <is>
          <t>Misty Womens Shorts</t>
        </is>
      </c>
      <c r="D2429" s="1">
        <v>108166</v>
      </c>
      <c r="E2429" s="0" t="inlineStr">
        <is>
          <t>IOWA MISTY GREY:108166E-2XL</t>
        </is>
      </c>
      <c r="F2429" s="2">
        <v>800108166055</v>
      </c>
      <c r="G2429" s="0" t="inlineStr">
        <is>
          <t>WOMENS</t>
        </is>
      </c>
      <c r="H2429" s="0" t="inlineStr">
        <is>
          <t>2XL</t>
        </is>
      </c>
      <c r="I2429" s="0">
        <v>28.99</v>
      </c>
      <c r="J2429" s="0">
        <v>4</v>
      </c>
    </row>
    <row r="2430" spans="1:10" customHeight="0">
      <c r="A2430" s="0">
        <f>HYPERLINK("https://dl.dropboxusercontent.com/scl/fi/8d7i9fr5ixn914oq7qfc1/108166-af.jpg?rlkey=lirzoy7j1x6fahpwwe8855dqk&amp;dl=0","Click to download Image")</f>
      </c>
      <c r="B2430" s="0">
        <f>HYPERLINK("https://dl.dropboxusercontent.com/scl/fi/g3bqfpd5q3pyu7wyj5y09/womens-size-chartsmisty.jpg?rlkey=4e44r3konouse2vce1kufknj9&amp;dl=0","Click to download SizeChart")</f>
      </c>
      <c r="C2430" s="0" t="inlineStr">
        <is>
          <t>Misty Womens Shorts</t>
        </is>
      </c>
      <c r="D2430" s="1">
        <v>108166</v>
      </c>
      <c r="E2430" s="0" t="inlineStr">
        <is>
          <t>IOWA MISTY GREY:108166F-3XL</t>
        </is>
      </c>
      <c r="F2430" s="2">
        <v>800108166062</v>
      </c>
      <c r="G2430" s="0" t="inlineStr">
        <is>
          <t>WOMENS</t>
        </is>
      </c>
      <c r="H2430" s="0" t="inlineStr">
        <is>
          <t>3XL</t>
        </is>
      </c>
      <c r="I2430" s="0">
        <v>28.99</v>
      </c>
      <c r="J2430" s="0">
        <v>4</v>
      </c>
    </row>
    <row r="2431" spans="1:10" customHeight="0">
      <c r="A2431" s="0">
        <f>HYPERLINK("https://dl.dropboxusercontent.com/scl/fi/8d7i9fr5ixn914oq7qfc1/108166-af.jpg?rlkey=lirzoy7j1x6fahpwwe8855dqk&amp;dl=0","Click to download Image")</f>
      </c>
      <c r="B2431" s="0">
        <f>HYPERLINK("https://dl.dropboxusercontent.com/scl/fi/g3bqfpd5q3pyu7wyj5y09/womens-size-chartsmisty.jpg?rlkey=4e44r3konouse2vce1kufknj9&amp;dl=0","Click to download SizeChart")</f>
      </c>
      <c r="C2431" s="0" t="inlineStr">
        <is>
          <t>Misty Womens Shorts</t>
        </is>
      </c>
      <c r="D2431" s="1">
        <v>108166</v>
      </c>
      <c r="E2431" s="0" t="inlineStr">
        <is>
          <t>IOWA MISTY GREY 12 PACK:108166Z-12PK</t>
        </is>
      </c>
      <c r="F2431" s="2">
        <v>800108166109</v>
      </c>
      <c r="G2431" s="0" t="inlineStr">
        <is>
          <t>WOMENS</t>
        </is>
      </c>
      <c r="H2431" s="0" t="inlineStr">
        <is>
          <t>12 PACK</t>
        </is>
      </c>
      <c r="I2431" s="0">
        <v>259.2</v>
      </c>
      <c r="J2431" s="0">
        <v>0</v>
      </c>
    </row>
    <row r="2432" spans="1:10" customHeight="0">
      <c r="A2432" s="0">
        <f>HYPERLINK("https://dl.dropboxusercontent.com/scl/fi/3yen1v8piaei9c7mrxp1s/110689-d.jpg?rlkey=haz4doe1lx1084gbz9rdf8oar&amp;dl=0","Click to download Image")</f>
      </c>
      <c r="B2432" s="0">
        <f>HYPERLINK("https://dl.dropboxusercontent.com/scl/fi/egdzoswrqebirixh140ka/graphic-update22022-infant.jpg?rlkey=aquxn0hi9ra7jcofsxrdg1qiv&amp;dl=0","Click to download SizeChart")</f>
      </c>
      <c r="C2432" s="0" t="inlineStr">
        <is>
          <t>Moore Infant Dress With Diaper Cover</t>
        </is>
      </c>
      <c r="D2432" s="1">
        <v>110689</v>
      </c>
      <c r="E2432" s="0" t="inlineStr">
        <is>
          <t>IOWA MOORE BLACK:110689A-0-3M</t>
        </is>
      </c>
      <c r="F2432" s="2">
        <v>800110689009</v>
      </c>
      <c r="G2432" s="0" t="inlineStr">
        <is>
          <t>INFANT</t>
        </is>
      </c>
      <c r="H2432" s="0" t="inlineStr">
        <is>
          <t>0-3M</t>
        </is>
      </c>
      <c r="I2432" s="0">
        <v>29.99</v>
      </c>
      <c r="J2432" s="0">
        <v>40</v>
      </c>
    </row>
    <row r="2433" spans="1:10" customHeight="0">
      <c r="A2433" s="0">
        <f>HYPERLINK("https://dl.dropboxusercontent.com/scl/fi/3yen1v8piaei9c7mrxp1s/110689-d.jpg?rlkey=haz4doe1lx1084gbz9rdf8oar&amp;dl=0","Click to download Image")</f>
      </c>
      <c r="B2433" s="0">
        <f>HYPERLINK("https://dl.dropboxusercontent.com/scl/fi/egdzoswrqebirixh140ka/graphic-update22022-infant.jpg?rlkey=aquxn0hi9ra7jcofsxrdg1qiv&amp;dl=0","Click to download SizeChart")</f>
      </c>
      <c r="C2433" s="0" t="inlineStr">
        <is>
          <t>Moore Infant Dress With Diaper Cover</t>
        </is>
      </c>
      <c r="D2433" s="1">
        <v>110689</v>
      </c>
      <c r="E2433" s="0" t="inlineStr">
        <is>
          <t>IOWA MOORE BLACK:110689B-3-6M</t>
        </is>
      </c>
      <c r="F2433" s="2">
        <v>800110689016</v>
      </c>
      <c r="G2433" s="0" t="inlineStr">
        <is>
          <t>INFANT</t>
        </is>
      </c>
      <c r="H2433" s="0" t="inlineStr">
        <is>
          <t>3-6M</t>
        </is>
      </c>
      <c r="I2433" s="0">
        <v>29.99</v>
      </c>
      <c r="J2433" s="0">
        <v>33</v>
      </c>
    </row>
    <row r="2434" spans="1:10" customHeight="0">
      <c r="A2434" s="0">
        <f>HYPERLINK("https://dl.dropboxusercontent.com/scl/fi/3yen1v8piaei9c7mrxp1s/110689-d.jpg?rlkey=haz4doe1lx1084gbz9rdf8oar&amp;dl=0","Click to download Image")</f>
      </c>
      <c r="B2434" s="0">
        <f>HYPERLINK("https://dl.dropboxusercontent.com/scl/fi/egdzoswrqebirixh140ka/graphic-update22022-infant.jpg?rlkey=aquxn0hi9ra7jcofsxrdg1qiv&amp;dl=0","Click to download SizeChart")</f>
      </c>
      <c r="C2434" s="0" t="inlineStr">
        <is>
          <t>Moore Infant Dress With Diaper Cover</t>
        </is>
      </c>
      <c r="D2434" s="1">
        <v>110689</v>
      </c>
      <c r="E2434" s="0" t="inlineStr">
        <is>
          <t>IOWA MOORE BLACK:110689C-6-9M</t>
        </is>
      </c>
      <c r="F2434" s="2">
        <v>800110689023</v>
      </c>
      <c r="G2434" s="0" t="inlineStr">
        <is>
          <t>INFANT</t>
        </is>
      </c>
      <c r="H2434" s="0" t="inlineStr">
        <is>
          <t>6-9M</t>
        </is>
      </c>
      <c r="I2434" s="0">
        <v>29.99</v>
      </c>
      <c r="J2434" s="0">
        <v>28</v>
      </c>
    </row>
    <row r="2435" spans="1:10" customHeight="0">
      <c r="A2435" s="0">
        <f>HYPERLINK("https://dl.dropboxusercontent.com/scl/fi/3yen1v8piaei9c7mrxp1s/110689-d.jpg?rlkey=haz4doe1lx1084gbz9rdf8oar&amp;dl=0","Click to download Image")</f>
      </c>
      <c r="B2435" s="0">
        <f>HYPERLINK("https://dl.dropboxusercontent.com/scl/fi/egdzoswrqebirixh140ka/graphic-update22022-infant.jpg?rlkey=aquxn0hi9ra7jcofsxrdg1qiv&amp;dl=0","Click to download SizeChart")</f>
      </c>
      <c r="C2435" s="0" t="inlineStr">
        <is>
          <t>Moore Infant Dress With Diaper Cover</t>
        </is>
      </c>
      <c r="D2435" s="1">
        <v>110689</v>
      </c>
      <c r="E2435" s="0" t="inlineStr">
        <is>
          <t>IOWA MOORE BLACK:110689F-12M</t>
        </is>
      </c>
      <c r="F2435" s="2">
        <v>800110689030</v>
      </c>
      <c r="G2435" s="0" t="inlineStr">
        <is>
          <t>INFANT</t>
        </is>
      </c>
      <c r="H2435" s="0" t="inlineStr">
        <is>
          <t>12M</t>
        </is>
      </c>
      <c r="I2435" s="0">
        <v>29.99</v>
      </c>
      <c r="J2435" s="0">
        <v>32</v>
      </c>
    </row>
    <row r="2436" spans="1:10" customHeight="0">
      <c r="A2436" s="0">
        <f>HYPERLINK("https://dl.dropboxusercontent.com/scl/fi/3yen1v8piaei9c7mrxp1s/110689-d.jpg?rlkey=haz4doe1lx1084gbz9rdf8oar&amp;dl=0","Click to download Image")</f>
      </c>
      <c r="B2436" s="0">
        <f>HYPERLINK("https://dl.dropboxusercontent.com/scl/fi/egdzoswrqebirixh140ka/graphic-update22022-infant.jpg?rlkey=aquxn0hi9ra7jcofsxrdg1qiv&amp;dl=0","Click to download SizeChart")</f>
      </c>
      <c r="C2436" s="0" t="inlineStr">
        <is>
          <t>Moore Infant Dress With Diaper Cover</t>
        </is>
      </c>
      <c r="D2436" s="1">
        <v>110689</v>
      </c>
      <c r="E2436" s="0" t="inlineStr">
        <is>
          <t>IOWA MOORE BLACK 12 PACK:110689Z-12PK</t>
        </is>
      </c>
      <c r="F2436" s="2">
        <v>800110689993</v>
      </c>
      <c r="G2436" s="0" t="inlineStr">
        <is>
          <t>INFANT</t>
        </is>
      </c>
      <c r="H2436" s="0" t="inlineStr">
        <is>
          <t>12 PACK</t>
        </is>
      </c>
      <c r="I2436" s="0">
        <v>335.88</v>
      </c>
      <c r="J2436" s="0">
        <v>0</v>
      </c>
    </row>
    <row r="2437" spans="1:10" customHeight="0">
      <c r="A2437" s="0">
        <f>HYPERLINK("https://dl.dropboxusercontent.com/scl/fi/b2ciibpqy1vmgiddap7rg/113152-af.jpg?rlkey=ap4dkwstszsc769f6slbfv24n&amp;dl=0","Click to download Image")</f>
      </c>
      <c r="B2437" s="0">
        <f>HYPERLINK("https://dl.dropboxusercontent.com/scl/fi/etoyrbgfat9qc6slc40mz/womens-long-sleeve-size-chartscarmen.jpg?rlkey=jceblgdg7jj0akavbcy29mzki&amp;dl=0","Click to download SizeChart")</f>
      </c>
      <c r="C2437" s="0" t="inlineStr">
        <is>
          <t>Carmen Womens Long Sleeve Shirt</t>
        </is>
      </c>
      <c r="D2437" s="1">
        <v>113152</v>
      </c>
      <c r="E2437" s="0" t="inlineStr">
        <is>
          <t>IOWA CARMEN WOMEN BLACK:113152A-S</t>
        </is>
      </c>
      <c r="F2437" s="2">
        <v>800113152043</v>
      </c>
      <c r="G2437" s="0" t="inlineStr">
        <is>
          <t>WOMENS</t>
        </is>
      </c>
      <c r="H2437" s="0" t="inlineStr">
        <is>
          <t>S</t>
        </is>
      </c>
      <c r="I2437" s="0">
        <v>42.99</v>
      </c>
      <c r="J2437" s="0">
        <v>17</v>
      </c>
    </row>
    <row r="2438" spans="1:10" customHeight="0">
      <c r="A2438" s="0">
        <f>HYPERLINK("https://dl.dropboxusercontent.com/scl/fi/b2ciibpqy1vmgiddap7rg/113152-af.jpg?rlkey=ap4dkwstszsc769f6slbfv24n&amp;dl=0","Click to download Image")</f>
      </c>
      <c r="B2438" s="0">
        <f>HYPERLINK("https://dl.dropboxusercontent.com/scl/fi/etoyrbgfat9qc6slc40mz/womens-long-sleeve-size-chartscarmen.jpg?rlkey=jceblgdg7jj0akavbcy29mzki&amp;dl=0","Click to download SizeChart")</f>
      </c>
      <c r="C2438" s="0" t="inlineStr">
        <is>
          <t>Carmen Womens Long Sleeve Shirt</t>
        </is>
      </c>
      <c r="D2438" s="1">
        <v>113152</v>
      </c>
      <c r="E2438" s="0" t="inlineStr">
        <is>
          <t>IOWA CARMEN WOMEN BLACK:113152B-M</t>
        </is>
      </c>
      <c r="F2438" s="2">
        <v>800113152050</v>
      </c>
      <c r="G2438" s="0" t="inlineStr">
        <is>
          <t>WOMENS</t>
        </is>
      </c>
      <c r="H2438" s="0" t="inlineStr">
        <is>
          <t>M</t>
        </is>
      </c>
      <c r="I2438" s="0">
        <v>42.99</v>
      </c>
      <c r="J2438" s="0">
        <v>40</v>
      </c>
    </row>
    <row r="2439" spans="1:10" customHeight="0">
      <c r="A2439" s="0">
        <f>HYPERLINK("https://dl.dropboxusercontent.com/scl/fi/b2ciibpqy1vmgiddap7rg/113152-af.jpg?rlkey=ap4dkwstszsc769f6slbfv24n&amp;dl=0","Click to download Image")</f>
      </c>
      <c r="B2439" s="0">
        <f>HYPERLINK("https://dl.dropboxusercontent.com/scl/fi/etoyrbgfat9qc6slc40mz/womens-long-sleeve-size-chartscarmen.jpg?rlkey=jceblgdg7jj0akavbcy29mzki&amp;dl=0","Click to download SizeChart")</f>
      </c>
      <c r="C2439" s="0" t="inlineStr">
        <is>
          <t>Carmen Womens Long Sleeve Shirt</t>
        </is>
      </c>
      <c r="D2439" s="1">
        <v>113152</v>
      </c>
      <c r="E2439" s="0" t="inlineStr">
        <is>
          <t>IOWA CARMEN WOMEN BLACK:113152C-L</t>
        </is>
      </c>
      <c r="F2439" s="2">
        <v>800113152067</v>
      </c>
      <c r="G2439" s="0" t="inlineStr">
        <is>
          <t>WOMENS</t>
        </is>
      </c>
      <c r="H2439" s="0" t="inlineStr">
        <is>
          <t>L</t>
        </is>
      </c>
      <c r="I2439" s="0">
        <v>42.99</v>
      </c>
      <c r="J2439" s="0">
        <v>39</v>
      </c>
    </row>
    <row r="2440" spans="1:10" customHeight="0">
      <c r="A2440" s="0">
        <f>HYPERLINK("https://dl.dropboxusercontent.com/scl/fi/b2ciibpqy1vmgiddap7rg/113152-af.jpg?rlkey=ap4dkwstszsc769f6slbfv24n&amp;dl=0","Click to download Image")</f>
      </c>
      <c r="B2440" s="0">
        <f>HYPERLINK("https://dl.dropboxusercontent.com/scl/fi/etoyrbgfat9qc6slc40mz/womens-long-sleeve-size-chartscarmen.jpg?rlkey=jceblgdg7jj0akavbcy29mzki&amp;dl=0","Click to download SizeChart")</f>
      </c>
      <c r="C2440" s="0" t="inlineStr">
        <is>
          <t>Carmen Womens Long Sleeve Shirt</t>
        </is>
      </c>
      <c r="D2440" s="1">
        <v>113152</v>
      </c>
      <c r="E2440" s="0" t="inlineStr">
        <is>
          <t>IOWA CARMEN WOMEN BLACK:113152D-XL</t>
        </is>
      </c>
      <c r="F2440" s="2">
        <v>800113152074</v>
      </c>
      <c r="G2440" s="0" t="inlineStr">
        <is>
          <t>WOMENS</t>
        </is>
      </c>
      <c r="H2440" s="0" t="inlineStr">
        <is>
          <t>XL</t>
        </is>
      </c>
      <c r="I2440" s="0">
        <v>42.99</v>
      </c>
      <c r="J2440" s="0">
        <v>15</v>
      </c>
    </row>
    <row r="2441" spans="1:10" customHeight="0">
      <c r="A2441" s="0">
        <f>HYPERLINK("https://dl.dropboxusercontent.com/scl/fi/b2ciibpqy1vmgiddap7rg/113152-af.jpg?rlkey=ap4dkwstszsc769f6slbfv24n&amp;dl=0","Click to download Image")</f>
      </c>
      <c r="B2441" s="0">
        <f>HYPERLINK("https://dl.dropboxusercontent.com/scl/fi/etoyrbgfat9qc6slc40mz/womens-long-sleeve-size-chartscarmen.jpg?rlkey=jceblgdg7jj0akavbcy29mzki&amp;dl=0","Click to download SizeChart")</f>
      </c>
      <c r="C2441" s="0" t="inlineStr">
        <is>
          <t>Carmen Womens Long Sleeve Shirt</t>
        </is>
      </c>
      <c r="D2441" s="1">
        <v>113152</v>
      </c>
      <c r="E2441" s="0" t="inlineStr">
        <is>
          <t>IOWA CARMEN WOMEN BLACK:113152E-2XL</t>
        </is>
      </c>
      <c r="F2441" s="2">
        <v>800113152081</v>
      </c>
      <c r="G2441" s="0" t="inlineStr">
        <is>
          <t>WOMENS</t>
        </is>
      </c>
      <c r="H2441" s="0" t="inlineStr">
        <is>
          <t>2XL</t>
        </is>
      </c>
      <c r="I2441" s="0">
        <v>44.99</v>
      </c>
      <c r="J2441" s="0">
        <v>10</v>
      </c>
    </row>
    <row r="2442" spans="1:10" customHeight="0">
      <c r="A2442" s="0">
        <f>HYPERLINK("https://dl.dropboxusercontent.com/scl/fi/b2ciibpqy1vmgiddap7rg/113152-af.jpg?rlkey=ap4dkwstszsc769f6slbfv24n&amp;dl=0","Click to download Image")</f>
      </c>
      <c r="B2442" s="0">
        <f>HYPERLINK("https://dl.dropboxusercontent.com/scl/fi/etoyrbgfat9qc6slc40mz/womens-long-sleeve-size-chartscarmen.jpg?rlkey=jceblgdg7jj0akavbcy29mzki&amp;dl=0","Click to download SizeChart")</f>
      </c>
      <c r="C2442" s="0" t="inlineStr">
        <is>
          <t>Carmen Womens Long Sleeve Shirt</t>
        </is>
      </c>
      <c r="D2442" s="1">
        <v>113152</v>
      </c>
      <c r="E2442" s="0" t="inlineStr">
        <is>
          <t>IOWA CARMEN WOMEN BLACK:113152F-3XL</t>
        </is>
      </c>
      <c r="F2442" s="2">
        <v>800113152098</v>
      </c>
      <c r="G2442" s="0" t="inlineStr">
        <is>
          <t>WOMENS</t>
        </is>
      </c>
      <c r="H2442" s="0" t="inlineStr">
        <is>
          <t>3XL</t>
        </is>
      </c>
      <c r="I2442" s="0">
        <v>44.99</v>
      </c>
      <c r="J2442" s="0">
        <v>3</v>
      </c>
    </row>
    <row r="2443" spans="1:10" customHeight="0">
      <c r="A2443" s="0">
        <f>HYPERLINK("https://dl.dropboxusercontent.com/scl/fi/b2ciibpqy1vmgiddap7rg/113152-af.jpg?rlkey=ap4dkwstszsc769f6slbfv24n&amp;dl=0","Click to download Image")</f>
      </c>
      <c r="B2443" s="0">
        <f>HYPERLINK("https://dl.dropboxusercontent.com/scl/fi/etoyrbgfat9qc6slc40mz/womens-long-sleeve-size-chartscarmen.jpg?rlkey=jceblgdg7jj0akavbcy29mzki&amp;dl=0","Click to download SizeChart")</f>
      </c>
      <c r="C2443" s="0" t="inlineStr">
        <is>
          <t>Carmen Womens Long Sleeve Shirt</t>
        </is>
      </c>
      <c r="D2443" s="1">
        <v>113152</v>
      </c>
      <c r="E2443" s="0" t="inlineStr">
        <is>
          <t>IOWA CARMEN WOMEN BLACK 12 PACK:113152Z-12PK</t>
        </is>
      </c>
      <c r="F2443" s="2">
        <v>800113152999</v>
      </c>
      <c r="G2443" s="0" t="inlineStr">
        <is>
          <t>WOMENS</t>
        </is>
      </c>
      <c r="H2443" s="0" t="inlineStr">
        <is>
          <t>12 PACK</t>
        </is>
      </c>
      <c r="I2443" s="0">
        <v>491.88</v>
      </c>
      <c r="J2443" s="0">
        <v>0</v>
      </c>
    </row>
    <row r="2444" spans="1:10" customHeight="0">
      <c r="A2444" s="0">
        <f>HYPERLINK("https://dl.dropboxusercontent.com/scl/fi/ifv7dnaptl2adha4iq3tp/116113-af.jpg?rlkey=lqpedgcvivl5x7p8dk0cbtehn&amp;dl=0","Click to download Image")</f>
      </c>
      <c r="B2444" s="0">
        <f>HYPERLINK("https://dl.dropboxusercontent.com/scl/fi/etoyrbgfat9qc6slc40mz/womens-long-sleeve-size-chartscarmen.jpg?rlkey=jceblgdg7jj0akavbcy29mzki&amp;dl=0","Click to download SizeChart")</f>
      </c>
      <c r="C2444" s="0" t="inlineStr">
        <is>
          <t>Carmen Womens Long Sleeve Shirt</t>
        </is>
      </c>
      <c r="D2444" s="1">
        <v>116113</v>
      </c>
      <c r="E2444" s="0" t="inlineStr">
        <is>
          <t>IOWA CARMEN W GOLD:116113A-S</t>
        </is>
      </c>
      <c r="F2444" s="2">
        <v>800116113041</v>
      </c>
      <c r="G2444" s="0" t="inlineStr">
        <is>
          <t>WOMENS</t>
        </is>
      </c>
      <c r="H2444" s="0" t="inlineStr">
        <is>
          <t>S</t>
        </is>
      </c>
      <c r="I2444" s="0">
        <v>42.99</v>
      </c>
      <c r="J2444" s="0">
        <v>24</v>
      </c>
    </row>
    <row r="2445" spans="1:10" customHeight="0">
      <c r="A2445" s="0">
        <f>HYPERLINK("https://dl.dropboxusercontent.com/scl/fi/ifv7dnaptl2adha4iq3tp/116113-af.jpg?rlkey=lqpedgcvivl5x7p8dk0cbtehn&amp;dl=0","Click to download Image")</f>
      </c>
      <c r="B2445" s="0">
        <f>HYPERLINK("https://dl.dropboxusercontent.com/scl/fi/etoyrbgfat9qc6slc40mz/womens-long-sleeve-size-chartscarmen.jpg?rlkey=jceblgdg7jj0akavbcy29mzki&amp;dl=0","Click to download SizeChart")</f>
      </c>
      <c r="C2445" s="0" t="inlineStr">
        <is>
          <t>Carmen Womens Long Sleeve Shirt</t>
        </is>
      </c>
      <c r="D2445" s="1">
        <v>116113</v>
      </c>
      <c r="E2445" s="0" t="inlineStr">
        <is>
          <t>IOWA CARMEN W GOLD:116113B-M</t>
        </is>
      </c>
      <c r="F2445" s="2">
        <v>800116113058</v>
      </c>
      <c r="G2445" s="0" t="inlineStr">
        <is>
          <t>WOMENS</t>
        </is>
      </c>
      <c r="H2445" s="0" t="inlineStr">
        <is>
          <t>M</t>
        </is>
      </c>
      <c r="I2445" s="0">
        <v>42.99</v>
      </c>
      <c r="J2445" s="0">
        <v>46</v>
      </c>
    </row>
    <row r="2446" spans="1:10" customHeight="0">
      <c r="A2446" s="0">
        <f>HYPERLINK("https://dl.dropboxusercontent.com/scl/fi/ifv7dnaptl2adha4iq3tp/116113-af.jpg?rlkey=lqpedgcvivl5x7p8dk0cbtehn&amp;dl=0","Click to download Image")</f>
      </c>
      <c r="B2446" s="0">
        <f>HYPERLINK("https://dl.dropboxusercontent.com/scl/fi/etoyrbgfat9qc6slc40mz/womens-long-sleeve-size-chartscarmen.jpg?rlkey=jceblgdg7jj0akavbcy29mzki&amp;dl=0","Click to download SizeChart")</f>
      </c>
      <c r="C2446" s="0" t="inlineStr">
        <is>
          <t>Carmen Womens Long Sleeve Shirt</t>
        </is>
      </c>
      <c r="D2446" s="1">
        <v>116113</v>
      </c>
      <c r="E2446" s="0" t="inlineStr">
        <is>
          <t>IOWA CARMEN W GOLD:116113C-L</t>
        </is>
      </c>
      <c r="F2446" s="2">
        <v>800116113065</v>
      </c>
      <c r="G2446" s="0" t="inlineStr">
        <is>
          <t>WOMENS</t>
        </is>
      </c>
      <c r="H2446" s="0" t="inlineStr">
        <is>
          <t>L</t>
        </is>
      </c>
      <c r="I2446" s="0">
        <v>42.99</v>
      </c>
      <c r="J2446" s="0">
        <v>48</v>
      </c>
    </row>
    <row r="2447" spans="1:10" customHeight="0">
      <c r="A2447" s="0">
        <f>HYPERLINK("https://dl.dropboxusercontent.com/scl/fi/ifv7dnaptl2adha4iq3tp/116113-af.jpg?rlkey=lqpedgcvivl5x7p8dk0cbtehn&amp;dl=0","Click to download Image")</f>
      </c>
      <c r="B2447" s="0">
        <f>HYPERLINK("https://dl.dropboxusercontent.com/scl/fi/etoyrbgfat9qc6slc40mz/womens-long-sleeve-size-chartscarmen.jpg?rlkey=jceblgdg7jj0akavbcy29mzki&amp;dl=0","Click to download SizeChart")</f>
      </c>
      <c r="C2447" s="0" t="inlineStr">
        <is>
          <t>Carmen Womens Long Sleeve Shirt</t>
        </is>
      </c>
      <c r="D2447" s="1">
        <v>116113</v>
      </c>
      <c r="E2447" s="0" t="inlineStr">
        <is>
          <t>IOWA CARMEN W GOLD:116113D-XL</t>
        </is>
      </c>
      <c r="F2447" s="2">
        <v>800116113072</v>
      </c>
      <c r="G2447" s="0" t="inlineStr">
        <is>
          <t>WOMENS</t>
        </is>
      </c>
      <c r="H2447" s="0" t="inlineStr">
        <is>
          <t>XL</t>
        </is>
      </c>
      <c r="I2447" s="0">
        <v>42.99</v>
      </c>
      <c r="J2447" s="0">
        <v>24</v>
      </c>
    </row>
    <row r="2448" spans="1:10" customHeight="0">
      <c r="A2448" s="0">
        <f>HYPERLINK("https://dl.dropboxusercontent.com/scl/fi/ifv7dnaptl2adha4iq3tp/116113-af.jpg?rlkey=lqpedgcvivl5x7p8dk0cbtehn&amp;dl=0","Click to download Image")</f>
      </c>
      <c r="B2448" s="0">
        <f>HYPERLINK("https://dl.dropboxusercontent.com/scl/fi/etoyrbgfat9qc6slc40mz/womens-long-sleeve-size-chartscarmen.jpg?rlkey=jceblgdg7jj0akavbcy29mzki&amp;dl=0","Click to download SizeChart")</f>
      </c>
      <c r="C2448" s="0" t="inlineStr">
        <is>
          <t>Carmen Womens Long Sleeve Shirt</t>
        </is>
      </c>
      <c r="D2448" s="1">
        <v>116113</v>
      </c>
      <c r="E2448" s="0" t="inlineStr">
        <is>
          <t>IOWA CARMEN W GOLD:116113E-2XL</t>
        </is>
      </c>
      <c r="F2448" s="2">
        <v>800116113089</v>
      </c>
      <c r="G2448" s="0" t="inlineStr">
        <is>
          <t>WOMENS</t>
        </is>
      </c>
      <c r="H2448" s="0" t="inlineStr">
        <is>
          <t>2XL</t>
        </is>
      </c>
      <c r="I2448" s="0">
        <v>44.99</v>
      </c>
      <c r="J2448" s="0">
        <v>12</v>
      </c>
    </row>
    <row r="2449" spans="1:10" customHeight="0">
      <c r="A2449" s="0">
        <f>HYPERLINK("https://dl.dropboxusercontent.com/scl/fi/ifv7dnaptl2adha4iq3tp/116113-af.jpg?rlkey=lqpedgcvivl5x7p8dk0cbtehn&amp;dl=0","Click to download Image")</f>
      </c>
      <c r="B2449" s="0">
        <f>HYPERLINK("https://dl.dropboxusercontent.com/scl/fi/etoyrbgfat9qc6slc40mz/womens-long-sleeve-size-chartscarmen.jpg?rlkey=jceblgdg7jj0akavbcy29mzki&amp;dl=0","Click to download SizeChart")</f>
      </c>
      <c r="C2449" s="0" t="inlineStr">
        <is>
          <t>Carmen Womens Long Sleeve Shirt</t>
        </is>
      </c>
      <c r="D2449" s="1">
        <v>116113</v>
      </c>
      <c r="E2449" s="0" t="inlineStr">
        <is>
          <t>IOWA CARMEN W GOLD:116113F-3XL</t>
        </is>
      </c>
      <c r="F2449" s="2">
        <v>800116113096</v>
      </c>
      <c r="G2449" s="0" t="inlineStr">
        <is>
          <t>WOMENS</t>
        </is>
      </c>
      <c r="H2449" s="0" t="inlineStr">
        <is>
          <t>3XL</t>
        </is>
      </c>
      <c r="I2449" s="0">
        <v>44.99</v>
      </c>
      <c r="J2449" s="0">
        <v>6</v>
      </c>
    </row>
    <row r="2450" spans="1:10" customHeight="0">
      <c r="A2450" s="0">
        <f>HYPERLINK("https://dl.dropboxusercontent.com/scl/fi/ifv7dnaptl2adha4iq3tp/116113-af.jpg?rlkey=lqpedgcvivl5x7p8dk0cbtehn&amp;dl=0","Click to download Image")</f>
      </c>
      <c r="B2450" s="0">
        <f>HYPERLINK("https://dl.dropboxusercontent.com/scl/fi/etoyrbgfat9qc6slc40mz/womens-long-sleeve-size-chartscarmen.jpg?rlkey=jceblgdg7jj0akavbcy29mzki&amp;dl=0","Click to download SizeChart")</f>
      </c>
      <c r="C2450" s="0" t="inlineStr">
        <is>
          <t>Carmen Womens Long Sleeve Shirt</t>
        </is>
      </c>
      <c r="D2450" s="1">
        <v>116113</v>
      </c>
      <c r="E2450" s="0" t="inlineStr">
        <is>
          <t>IOWA CARMEN W GOLD 12 PACK:116113Z-12PK</t>
        </is>
      </c>
      <c r="F2450" s="2">
        <v>800116113997</v>
      </c>
      <c r="G2450" s="0" t="inlineStr">
        <is>
          <t>WOMENS</t>
        </is>
      </c>
      <c r="H2450" s="0" t="inlineStr">
        <is>
          <t>12 PACK</t>
        </is>
      </c>
      <c r="I2450" s="0">
        <v>491.88</v>
      </c>
      <c r="J2450" s="0">
        <v>0</v>
      </c>
    </row>
    <row r="2451" spans="1:10" customHeight="0">
      <c r="A2451" s="0">
        <f>HYPERLINK("https://dl.dropboxusercontent.com/scl/fi/c753wgicl5pqd3fvp9gkw/hastings-tn2.jpg?rlkey=876ois4bqcapjtplosmdosblc&amp;dl=0","Click to download Image")</f>
      </c>
      <c r="B2451" s="0">
        <f>HYPERLINK("https://dl.dropboxusercontent.com/scl/fi/tfbum6nyxy5jpr0ewh85q/womens-tank-top-size-chartshastings.jpg?rlkey=j6c1vtzvnmd7uir5s02h06ong&amp;dl=0","Click to download SizeChart")</f>
      </c>
      <c r="C2451" s="0" t="inlineStr">
        <is>
          <t>Hastings Womens Tank Top</t>
        </is>
      </c>
      <c r="D2451" s="1">
        <v>109668</v>
      </c>
      <c r="E2451" s="0" t="inlineStr">
        <is>
          <t>IOWA HASTINGS:109668A-S</t>
        </is>
      </c>
      <c r="F2451" s="2">
        <v>800109668046</v>
      </c>
      <c r="G2451" s="0" t="inlineStr">
        <is>
          <t>WOMENS</t>
        </is>
      </c>
      <c r="H2451" s="0" t="inlineStr">
        <is>
          <t>S</t>
        </is>
      </c>
      <c r="I2451" s="0">
        <v>29.99</v>
      </c>
      <c r="J2451" s="0">
        <v>0</v>
      </c>
    </row>
    <row r="2452" spans="1:10" customHeight="0">
      <c r="A2452" s="0">
        <f>HYPERLINK("https://dl.dropboxusercontent.com/scl/fi/c753wgicl5pqd3fvp9gkw/hastings-tn2.jpg?rlkey=876ois4bqcapjtplosmdosblc&amp;dl=0","Click to download Image")</f>
      </c>
      <c r="B2452" s="0">
        <f>HYPERLINK("https://dl.dropboxusercontent.com/scl/fi/tfbum6nyxy5jpr0ewh85q/womens-tank-top-size-chartshastings.jpg?rlkey=j6c1vtzvnmd7uir5s02h06ong&amp;dl=0","Click to download SizeChart")</f>
      </c>
      <c r="C2452" s="0" t="inlineStr">
        <is>
          <t>Hastings Womens Tank Top</t>
        </is>
      </c>
      <c r="D2452" s="1">
        <v>109668</v>
      </c>
      <c r="E2452" s="0" t="inlineStr">
        <is>
          <t>IOWA HASTINGS:109668B-M</t>
        </is>
      </c>
      <c r="F2452" s="2">
        <v>800109668053</v>
      </c>
      <c r="G2452" s="0" t="inlineStr">
        <is>
          <t>WOMENS</t>
        </is>
      </c>
      <c r="H2452" s="0" t="inlineStr">
        <is>
          <t>M</t>
        </is>
      </c>
      <c r="I2452" s="0">
        <v>29.99</v>
      </c>
      <c r="J2452" s="0">
        <v>16</v>
      </c>
    </row>
    <row r="2453" spans="1:10" customHeight="0">
      <c r="A2453" s="0">
        <f>HYPERLINK("https://dl.dropboxusercontent.com/scl/fi/c753wgicl5pqd3fvp9gkw/hastings-tn2.jpg?rlkey=876ois4bqcapjtplosmdosblc&amp;dl=0","Click to download Image")</f>
      </c>
      <c r="B2453" s="0">
        <f>HYPERLINK("https://dl.dropboxusercontent.com/scl/fi/tfbum6nyxy5jpr0ewh85q/womens-tank-top-size-chartshastings.jpg?rlkey=j6c1vtzvnmd7uir5s02h06ong&amp;dl=0","Click to download SizeChart")</f>
      </c>
      <c r="C2453" s="0" t="inlineStr">
        <is>
          <t>Hastings Womens Tank Top</t>
        </is>
      </c>
      <c r="D2453" s="1">
        <v>109668</v>
      </c>
      <c r="E2453" s="0" t="inlineStr">
        <is>
          <t>IOWA HASTINGS:109668C-L</t>
        </is>
      </c>
      <c r="F2453" s="2">
        <v>800109668060</v>
      </c>
      <c r="G2453" s="0" t="inlineStr">
        <is>
          <t>WOMENS</t>
        </is>
      </c>
      <c r="H2453" s="0" t="inlineStr">
        <is>
          <t>L</t>
        </is>
      </c>
      <c r="I2453" s="0">
        <v>29.99</v>
      </c>
      <c r="J2453" s="0">
        <v>4</v>
      </c>
    </row>
    <row r="2454" spans="1:10" customHeight="0">
      <c r="A2454" s="0">
        <f>HYPERLINK("https://dl.dropboxusercontent.com/scl/fi/c753wgicl5pqd3fvp9gkw/hastings-tn2.jpg?rlkey=876ois4bqcapjtplosmdosblc&amp;dl=0","Click to download Image")</f>
      </c>
      <c r="B2454" s="0">
        <f>HYPERLINK("https://dl.dropboxusercontent.com/scl/fi/tfbum6nyxy5jpr0ewh85q/womens-tank-top-size-chartshastings.jpg?rlkey=j6c1vtzvnmd7uir5s02h06ong&amp;dl=0","Click to download SizeChart")</f>
      </c>
      <c r="C2454" s="0" t="inlineStr">
        <is>
          <t>Hastings Womens Tank Top</t>
        </is>
      </c>
      <c r="D2454" s="1">
        <v>109668</v>
      </c>
      <c r="E2454" s="0" t="inlineStr">
        <is>
          <t>IOWA HASTINGS:109668D-XL</t>
        </is>
      </c>
      <c r="F2454" s="2">
        <v>800109668077</v>
      </c>
      <c r="G2454" s="0" t="inlineStr">
        <is>
          <t>WOMENS</t>
        </is>
      </c>
      <c r="H2454" s="0" t="inlineStr">
        <is>
          <t>XL</t>
        </is>
      </c>
      <c r="I2454" s="0">
        <v>29.99</v>
      </c>
      <c r="J2454" s="0">
        <v>0</v>
      </c>
    </row>
    <row r="2455" spans="1:10" customHeight="0">
      <c r="A2455" s="0">
        <f>HYPERLINK("https://dl.dropboxusercontent.com/scl/fi/c753wgicl5pqd3fvp9gkw/hastings-tn2.jpg?rlkey=876ois4bqcapjtplosmdosblc&amp;dl=0","Click to download Image")</f>
      </c>
      <c r="B2455" s="0">
        <f>HYPERLINK("https://dl.dropboxusercontent.com/scl/fi/tfbum6nyxy5jpr0ewh85q/womens-tank-top-size-chartshastings.jpg?rlkey=j6c1vtzvnmd7uir5s02h06ong&amp;dl=0","Click to download SizeChart")</f>
      </c>
      <c r="C2455" s="0" t="inlineStr">
        <is>
          <t>Hastings Womens Tank Top</t>
        </is>
      </c>
      <c r="D2455" s="1">
        <v>109668</v>
      </c>
      <c r="E2455" s="0" t="inlineStr">
        <is>
          <t>IOWA HASTINGS:109668E-2XL</t>
        </is>
      </c>
      <c r="F2455" s="2">
        <v>800109668084</v>
      </c>
      <c r="G2455" s="0" t="inlineStr">
        <is>
          <t>WOMENS</t>
        </is>
      </c>
      <c r="H2455" s="0" t="inlineStr">
        <is>
          <t>2XL</t>
        </is>
      </c>
      <c r="I2455" s="0">
        <v>31.99</v>
      </c>
      <c r="J2455" s="0">
        <v>0</v>
      </c>
    </row>
    <row r="2456" spans="1:10" customHeight="0">
      <c r="A2456" s="0">
        <f>HYPERLINK("https://dl.dropboxusercontent.com/scl/fi/c753wgicl5pqd3fvp9gkw/hastings-tn2.jpg?rlkey=876ois4bqcapjtplosmdosblc&amp;dl=0","Click to download Image")</f>
      </c>
      <c r="B2456" s="0">
        <f>HYPERLINK("https://dl.dropboxusercontent.com/scl/fi/tfbum6nyxy5jpr0ewh85q/womens-tank-top-size-chartshastings.jpg?rlkey=j6c1vtzvnmd7uir5s02h06ong&amp;dl=0","Click to download SizeChart")</f>
      </c>
      <c r="C2456" s="0" t="inlineStr">
        <is>
          <t>Hastings Womens Tank Top</t>
        </is>
      </c>
      <c r="D2456" s="1">
        <v>109668</v>
      </c>
      <c r="E2456" s="0" t="inlineStr">
        <is>
          <t>IOWA HASTINGS:109668F-3XL</t>
        </is>
      </c>
      <c r="F2456" s="2">
        <v>800109668091</v>
      </c>
      <c r="G2456" s="0" t="inlineStr">
        <is>
          <t>WOMENS</t>
        </is>
      </c>
      <c r="H2456" s="0" t="inlineStr">
        <is>
          <t>3XL</t>
        </is>
      </c>
      <c r="I2456" s="0">
        <v>31.99</v>
      </c>
      <c r="J2456" s="0">
        <v>0</v>
      </c>
    </row>
    <row r="2457" spans="1:10" customHeight="0">
      <c r="A2457" s="0">
        <f>HYPERLINK("https://dl.dropboxusercontent.com/scl/fi/c753wgicl5pqd3fvp9gkw/hastings-tn2.jpg?rlkey=876ois4bqcapjtplosmdosblc&amp;dl=0","Click to download Image")</f>
      </c>
      <c r="B2457" s="0">
        <f>HYPERLINK("https://dl.dropboxusercontent.com/scl/fi/tfbum6nyxy5jpr0ewh85q/womens-tank-top-size-chartshastings.jpg?rlkey=j6c1vtzvnmd7uir5s02h06ong&amp;dl=0","Click to download SizeChart")</f>
      </c>
      <c r="C2457" s="0" t="inlineStr">
        <is>
          <t>Hastings Womens Tank Top</t>
        </is>
      </c>
      <c r="D2457" s="1">
        <v>109668</v>
      </c>
      <c r="E2457" s="0" t="inlineStr">
        <is>
          <t>IOWA HASTINGS 12 PACK:109668Z-12PK</t>
        </is>
      </c>
      <c r="F2457" s="2">
        <v>800109688105</v>
      </c>
      <c r="G2457" s="0" t="inlineStr">
        <is>
          <t>WOMENS</t>
        </is>
      </c>
      <c r="H2457" s="0" t="inlineStr">
        <is>
          <t>12 PACK</t>
        </is>
      </c>
      <c r="I2457" s="0">
        <v>335.88</v>
      </c>
      <c r="J2457" s="0">
        <v>0</v>
      </c>
    </row>
    <row r="2458" spans="1:10" customHeight="0">
      <c r="A2458" s="0">
        <f>HYPERLINK("https://dl.dropboxusercontent.com/scl/fi/h2p8rme21crkc1b4a91xg/106785-af.jpg?rlkey=rjv6vc79u11s29zteoca0pwwz&amp;dl=0","Click to download Image")</f>
      </c>
      <c r="B2458" s="0">
        <f>HYPERLINK("https://dl.dropboxusercontent.com/scl/fi/w301eufogv8kl8f804zyn/womens-size-chartscleopatra.jpg?rlkey=m11q3tcubh7jyd5je4y4udzh3&amp;dl=0","Click to download SizeChart")</f>
      </c>
      <c r="C2458" s="0" t="inlineStr">
        <is>
          <t>Cleopatra Women's Down Fill Puffer Jacket</t>
        </is>
      </c>
      <c r="D2458" s="1">
        <v>106785</v>
      </c>
      <c r="E2458" s="0" t="inlineStr">
        <is>
          <t>IA CLEOPATRA:106785A - S</t>
        </is>
      </c>
      <c r="G2458" s="0" t="inlineStr">
        <is>
          <t>WOMENS</t>
        </is>
      </c>
      <c r="H2458" s="0" t="inlineStr">
        <is>
          <t>S</t>
        </is>
      </c>
      <c r="I2458" s="0">
        <v>149.99</v>
      </c>
      <c r="J2458" s="0">
        <v>31</v>
      </c>
    </row>
    <row r="2459" spans="1:10" customHeight="0">
      <c r="A2459" s="0">
        <f>HYPERLINK("https://dl.dropboxusercontent.com/scl/fi/h2p8rme21crkc1b4a91xg/106785-af.jpg?rlkey=rjv6vc79u11s29zteoca0pwwz&amp;dl=0","Click to download Image")</f>
      </c>
      <c r="B2459" s="0">
        <f>HYPERLINK("https://dl.dropboxusercontent.com/scl/fi/w301eufogv8kl8f804zyn/womens-size-chartscleopatra.jpg?rlkey=m11q3tcubh7jyd5je4y4udzh3&amp;dl=0","Click to download SizeChart")</f>
      </c>
      <c r="C2459" s="0" t="inlineStr">
        <is>
          <t>Cleopatra Women's Down Fill Puffer Jacket</t>
        </is>
      </c>
      <c r="D2459" s="1">
        <v>106785</v>
      </c>
      <c r="E2459" s="0" t="inlineStr">
        <is>
          <t>IA CLEOPATRA:106785B - M</t>
        </is>
      </c>
      <c r="G2459" s="0" t="inlineStr">
        <is>
          <t>WOMENS</t>
        </is>
      </c>
      <c r="H2459" s="0" t="inlineStr">
        <is>
          <t>M</t>
        </is>
      </c>
      <c r="I2459" s="0">
        <v>149.99</v>
      </c>
      <c r="J2459" s="0">
        <v>62</v>
      </c>
    </row>
    <row r="2460" spans="1:10" customHeight="0">
      <c r="A2460" s="0">
        <f>HYPERLINK("https://dl.dropboxusercontent.com/scl/fi/h2p8rme21crkc1b4a91xg/106785-af.jpg?rlkey=rjv6vc79u11s29zteoca0pwwz&amp;dl=0","Click to download Image")</f>
      </c>
      <c r="B2460" s="0">
        <f>HYPERLINK("https://dl.dropboxusercontent.com/scl/fi/w301eufogv8kl8f804zyn/womens-size-chartscleopatra.jpg?rlkey=m11q3tcubh7jyd5je4y4udzh3&amp;dl=0","Click to download SizeChart")</f>
      </c>
      <c r="C2460" s="0" t="inlineStr">
        <is>
          <t>Cleopatra Women's Down Fill Puffer Jacket</t>
        </is>
      </c>
      <c r="D2460" s="1">
        <v>106785</v>
      </c>
      <c r="E2460" s="0" t="inlineStr">
        <is>
          <t>IA CLEOPATRA:106785C - L</t>
        </is>
      </c>
      <c r="G2460" s="0" t="inlineStr">
        <is>
          <t>WOMENS</t>
        </is>
      </c>
      <c r="H2460" s="0" t="inlineStr">
        <is>
          <t>L</t>
        </is>
      </c>
      <c r="I2460" s="0">
        <v>149.99</v>
      </c>
      <c r="J2460" s="0">
        <v>60</v>
      </c>
    </row>
    <row r="2461" spans="1:10" customHeight="0">
      <c r="A2461" s="0">
        <f>HYPERLINK("https://dl.dropboxusercontent.com/scl/fi/h2p8rme21crkc1b4a91xg/106785-af.jpg?rlkey=rjv6vc79u11s29zteoca0pwwz&amp;dl=0","Click to download Image")</f>
      </c>
      <c r="B2461" s="0">
        <f>HYPERLINK("https://dl.dropboxusercontent.com/scl/fi/w301eufogv8kl8f804zyn/womens-size-chartscleopatra.jpg?rlkey=m11q3tcubh7jyd5je4y4udzh3&amp;dl=0","Click to download SizeChart")</f>
      </c>
      <c r="C2461" s="0" t="inlineStr">
        <is>
          <t>Cleopatra Women's Down Fill Puffer Jacket</t>
        </is>
      </c>
      <c r="D2461" s="1">
        <v>106785</v>
      </c>
      <c r="E2461" s="0" t="inlineStr">
        <is>
          <t>IA CLEOPATRA:106785D - XL</t>
        </is>
      </c>
      <c r="G2461" s="0" t="inlineStr">
        <is>
          <t>WOMENS</t>
        </is>
      </c>
      <c r="H2461" s="0" t="inlineStr">
        <is>
          <t>XL</t>
        </is>
      </c>
      <c r="I2461" s="0">
        <v>149.99</v>
      </c>
      <c r="J2461" s="0">
        <v>24</v>
      </c>
    </row>
    <row r="2462" spans="1:10" customHeight="0">
      <c r="A2462" s="0">
        <f>HYPERLINK("https://dl.dropboxusercontent.com/scl/fi/h2p8rme21crkc1b4a91xg/106785-af.jpg?rlkey=rjv6vc79u11s29zteoca0pwwz&amp;dl=0","Click to download Image")</f>
      </c>
      <c r="B2462" s="0">
        <f>HYPERLINK("https://dl.dropboxusercontent.com/scl/fi/w301eufogv8kl8f804zyn/womens-size-chartscleopatra.jpg?rlkey=m11q3tcubh7jyd5je4y4udzh3&amp;dl=0","Click to download SizeChart")</f>
      </c>
      <c r="C2462" s="0" t="inlineStr">
        <is>
          <t>Cleopatra Women's Down Fill Puffer Jacket</t>
        </is>
      </c>
      <c r="D2462" s="1">
        <v>106785</v>
      </c>
      <c r="E2462" s="0" t="inlineStr">
        <is>
          <t>IA CLEOPATRA:106785E - 2XL</t>
        </is>
      </c>
      <c r="G2462" s="0" t="inlineStr">
        <is>
          <t>WOMENS</t>
        </is>
      </c>
      <c r="H2462" s="0" t="inlineStr">
        <is>
          <t>2XL</t>
        </is>
      </c>
      <c r="I2462" s="0">
        <v>151.99</v>
      </c>
      <c r="J2462" s="0">
        <v>5</v>
      </c>
    </row>
    <row r="2463" spans="1:10" customHeight="0">
      <c r="A2463" s="0">
        <f>HYPERLINK("https://dl.dropboxusercontent.com/scl/fi/h2p8rme21crkc1b4a91xg/106785-af.jpg?rlkey=rjv6vc79u11s29zteoca0pwwz&amp;dl=0","Click to download Image")</f>
      </c>
      <c r="B2463" s="0">
        <f>HYPERLINK("https://dl.dropboxusercontent.com/scl/fi/w301eufogv8kl8f804zyn/womens-size-chartscleopatra.jpg?rlkey=m11q3tcubh7jyd5je4y4udzh3&amp;dl=0","Click to download SizeChart")</f>
      </c>
      <c r="C2463" s="0" t="inlineStr">
        <is>
          <t>Cleopatra Women's Down Fill Puffer Jacket</t>
        </is>
      </c>
      <c r="D2463" s="1">
        <v>106785</v>
      </c>
      <c r="E2463" s="0" t="inlineStr">
        <is>
          <t>IA CLEOPATRA:106785F - 3XL</t>
        </is>
      </c>
      <c r="G2463" s="0" t="inlineStr">
        <is>
          <t>WOMENS</t>
        </is>
      </c>
      <c r="H2463" s="0" t="inlineStr">
        <is>
          <t>3XL</t>
        </is>
      </c>
      <c r="I2463" s="0">
        <v>151.99</v>
      </c>
      <c r="J2463" s="0">
        <v>5</v>
      </c>
    </row>
    <row r="2464" spans="1:10" customHeight="0">
      <c r="A2464" s="0">
        <f>HYPERLINK("https://dl.dropboxusercontent.com/scl/fi/e7na087y4260ddw2lp5gd/109001af.jpg?rlkey=wsrhi5kcrw15ucw8oyki95w0e&amp;dl=0","Click to download Image")</f>
      </c>
      <c r="B2464" s="0">
        <f>HYPERLINK("https://dl.dropboxusercontent.com/scl/fi/w301eufogv8kl8f804zyn/womens-size-chartscleopatra.jpg?rlkey=m11q3tcubh7jyd5je4y4udzh3&amp;dl=0","Click to download SizeChart")</f>
      </c>
      <c r="C2464" s="0" t="inlineStr">
        <is>
          <t>Cleopatra Women's Down Fill Puffer Jacket</t>
        </is>
      </c>
      <c r="D2464" s="1">
        <v>109001</v>
      </c>
      <c r="E2464" s="0" t="inlineStr">
        <is>
          <t>IA CLEOPATRA - SILVER:109001A-S</t>
        </is>
      </c>
      <c r="F2464" s="2">
        <v>800109001010</v>
      </c>
      <c r="G2464" s="0" t="inlineStr">
        <is>
          <t>WOMENS</t>
        </is>
      </c>
      <c r="H2464" s="0" t="inlineStr">
        <is>
          <t>S</t>
        </is>
      </c>
      <c r="I2464" s="0">
        <v>149.99</v>
      </c>
      <c r="J2464" s="0">
        <v>8</v>
      </c>
    </row>
    <row r="2465" spans="1:10" customHeight="0">
      <c r="A2465" s="0">
        <f>HYPERLINK("https://dl.dropboxusercontent.com/scl/fi/e7na087y4260ddw2lp5gd/109001af.jpg?rlkey=wsrhi5kcrw15ucw8oyki95w0e&amp;dl=0","Click to download Image")</f>
      </c>
      <c r="B2465" s="0">
        <f>HYPERLINK("https://dl.dropboxusercontent.com/scl/fi/w301eufogv8kl8f804zyn/womens-size-chartscleopatra.jpg?rlkey=m11q3tcubh7jyd5je4y4udzh3&amp;dl=0","Click to download SizeChart")</f>
      </c>
      <c r="C2465" s="0" t="inlineStr">
        <is>
          <t>Cleopatra Women's Down Fill Puffer Jacket</t>
        </is>
      </c>
      <c r="D2465" s="1">
        <v>109001</v>
      </c>
      <c r="E2465" s="0" t="inlineStr">
        <is>
          <t>IA CLEOPATRA - SILVER:109001B-M</t>
        </is>
      </c>
      <c r="F2465" s="2">
        <v>800109001027</v>
      </c>
      <c r="G2465" s="0" t="inlineStr">
        <is>
          <t>WOMENS</t>
        </is>
      </c>
      <c r="H2465" s="0" t="inlineStr">
        <is>
          <t>M</t>
        </is>
      </c>
      <c r="I2465" s="0">
        <v>149.99</v>
      </c>
      <c r="J2465" s="0">
        <v>16</v>
      </c>
    </row>
    <row r="2466" spans="1:10" customHeight="0">
      <c r="A2466" s="0">
        <f>HYPERLINK("https://dl.dropboxusercontent.com/scl/fi/e7na087y4260ddw2lp5gd/109001af.jpg?rlkey=wsrhi5kcrw15ucw8oyki95w0e&amp;dl=0","Click to download Image")</f>
      </c>
      <c r="B2466" s="0">
        <f>HYPERLINK("https://dl.dropboxusercontent.com/scl/fi/w301eufogv8kl8f804zyn/womens-size-chartscleopatra.jpg?rlkey=m11q3tcubh7jyd5je4y4udzh3&amp;dl=0","Click to download SizeChart")</f>
      </c>
      <c r="C2466" s="0" t="inlineStr">
        <is>
          <t>Cleopatra Women's Down Fill Puffer Jacket</t>
        </is>
      </c>
      <c r="D2466" s="1">
        <v>109001</v>
      </c>
      <c r="E2466" s="0" t="inlineStr">
        <is>
          <t>IA CLEOPATRA - SILVER:109001C-L</t>
        </is>
      </c>
      <c r="F2466" s="2">
        <v>800109001034</v>
      </c>
      <c r="G2466" s="0" t="inlineStr">
        <is>
          <t>WOMENS</t>
        </is>
      </c>
      <c r="H2466" s="0" t="inlineStr">
        <is>
          <t>L</t>
        </is>
      </c>
      <c r="I2466" s="0">
        <v>149.99</v>
      </c>
      <c r="J2466" s="0">
        <v>16</v>
      </c>
    </row>
    <row r="2467" spans="1:10" customHeight="0">
      <c r="A2467" s="0">
        <f>HYPERLINK("https://dl.dropboxusercontent.com/scl/fi/e7na087y4260ddw2lp5gd/109001af.jpg?rlkey=wsrhi5kcrw15ucw8oyki95w0e&amp;dl=0","Click to download Image")</f>
      </c>
      <c r="B2467" s="0">
        <f>HYPERLINK("https://dl.dropboxusercontent.com/scl/fi/w301eufogv8kl8f804zyn/womens-size-chartscleopatra.jpg?rlkey=m11q3tcubh7jyd5je4y4udzh3&amp;dl=0","Click to download SizeChart")</f>
      </c>
      <c r="C2467" s="0" t="inlineStr">
        <is>
          <t>Cleopatra Women's Down Fill Puffer Jacket</t>
        </is>
      </c>
      <c r="D2467" s="1">
        <v>109001</v>
      </c>
      <c r="E2467" s="0" t="inlineStr">
        <is>
          <t>IA CLEOPATRA - SILVER:109001D-XL</t>
        </is>
      </c>
      <c r="F2467" s="2">
        <v>800109001041</v>
      </c>
      <c r="G2467" s="0" t="inlineStr">
        <is>
          <t>WOMENS</t>
        </is>
      </c>
      <c r="H2467" s="0" t="inlineStr">
        <is>
          <t>XL</t>
        </is>
      </c>
      <c r="I2467" s="0">
        <v>149.99</v>
      </c>
      <c r="J2467" s="0">
        <v>8</v>
      </c>
    </row>
    <row r="2468" spans="1:10" customHeight="0">
      <c r="A2468" s="0">
        <f>HYPERLINK("https://dl.dropboxusercontent.com/scl/fi/e7na087y4260ddw2lp5gd/109001af.jpg?rlkey=wsrhi5kcrw15ucw8oyki95w0e&amp;dl=0","Click to download Image")</f>
      </c>
      <c r="B2468" s="0">
        <f>HYPERLINK("https://dl.dropboxusercontent.com/scl/fi/w301eufogv8kl8f804zyn/womens-size-chartscleopatra.jpg?rlkey=m11q3tcubh7jyd5je4y4udzh3&amp;dl=0","Click to download SizeChart")</f>
      </c>
      <c r="C2468" s="0" t="inlineStr">
        <is>
          <t>Cleopatra Women's Down Fill Puffer Jacket</t>
        </is>
      </c>
      <c r="D2468" s="1">
        <v>109001</v>
      </c>
      <c r="E2468" s="0" t="inlineStr">
        <is>
          <t>IA CLEOPATRA - SILVER:109001E-2XL</t>
        </is>
      </c>
      <c r="F2468" s="2">
        <v>800109001058</v>
      </c>
      <c r="G2468" s="0" t="inlineStr">
        <is>
          <t>WOMENS</t>
        </is>
      </c>
      <c r="H2468" s="0" t="inlineStr">
        <is>
          <t>2XL</t>
        </is>
      </c>
      <c r="I2468" s="0">
        <v>151.99</v>
      </c>
      <c r="J2468" s="0">
        <v>2</v>
      </c>
    </row>
    <row r="2469" spans="1:10" customHeight="0">
      <c r="A2469" s="0">
        <f>HYPERLINK("https://dl.dropboxusercontent.com/scl/fi/e7na087y4260ddw2lp5gd/109001af.jpg?rlkey=wsrhi5kcrw15ucw8oyki95w0e&amp;dl=0","Click to download Image")</f>
      </c>
      <c r="B2469" s="0">
        <f>HYPERLINK("https://dl.dropboxusercontent.com/scl/fi/w301eufogv8kl8f804zyn/womens-size-chartscleopatra.jpg?rlkey=m11q3tcubh7jyd5je4y4udzh3&amp;dl=0","Click to download SizeChart")</f>
      </c>
      <c r="C2469" s="0" t="inlineStr">
        <is>
          <t>Cleopatra Women's Down Fill Puffer Jacket</t>
        </is>
      </c>
      <c r="D2469" s="1">
        <v>109001</v>
      </c>
      <c r="E2469" s="0" t="inlineStr">
        <is>
          <t>IA CLEOPATRA - SILVER:109001F-3XL</t>
        </is>
      </c>
      <c r="F2469" s="2">
        <v>800109001065</v>
      </c>
      <c r="G2469" s="0" t="inlineStr">
        <is>
          <t>WOMENS</t>
        </is>
      </c>
      <c r="H2469" s="0" t="inlineStr">
        <is>
          <t>3XL</t>
        </is>
      </c>
      <c r="I2469" s="0">
        <v>151.99</v>
      </c>
      <c r="J2469" s="0">
        <v>2</v>
      </c>
    </row>
    <row r="2470" spans="1:10" customHeight="0">
      <c r="A2470" s="0">
        <f>HYPERLINK("https://dl.dropboxusercontent.com/scl/fi/pzfnlg5f4ryv7mpiclalw/final-dsc3682-copy.jpg?rlkey=s5cif7g9q9rd7x1qe7r4kw290&amp;dl=0","Click to download Image")</f>
      </c>
      <c r="B2470" s="0">
        <f>HYPERLINK("https://dl.dropboxusercontent.com/scl/fi/mucr3prtsfve8pzfiblkv/womens-size-chartslori.jpg?rlkey=lrvsxwk32zh04bvemlwbqpmo7&amp;dl=0","Click to download SizeChart")</f>
      </c>
      <c r="C2470" s="0" t="inlineStr">
        <is>
          <t>Iowa Lori Quilted Vest Premium Black</t>
        </is>
      </c>
      <c r="D2470" s="1">
        <v>106753</v>
      </c>
      <c r="E2470" s="0" t="inlineStr">
        <is>
          <t>IA LORI:106753A-S</t>
        </is>
      </c>
      <c r="F2470" s="2">
        <v>800106753011</v>
      </c>
      <c r="G2470" s="0" t="inlineStr">
        <is>
          <t>WOMENS</t>
        </is>
      </c>
      <c r="H2470" s="0" t="inlineStr">
        <is>
          <t>S</t>
        </is>
      </c>
      <c r="I2470" s="0">
        <v>59.99</v>
      </c>
      <c r="J2470" s="0">
        <v>0</v>
      </c>
    </row>
    <row r="2471" spans="1:10" customHeight="0">
      <c r="A2471" s="0">
        <f>HYPERLINK("https://dl.dropboxusercontent.com/scl/fi/pzfnlg5f4ryv7mpiclalw/final-dsc3682-copy.jpg?rlkey=s5cif7g9q9rd7x1qe7r4kw290&amp;dl=0","Click to download Image")</f>
      </c>
      <c r="B2471" s="0">
        <f>HYPERLINK("https://dl.dropboxusercontent.com/scl/fi/mucr3prtsfve8pzfiblkv/womens-size-chartslori.jpg?rlkey=lrvsxwk32zh04bvemlwbqpmo7&amp;dl=0","Click to download SizeChart")</f>
      </c>
      <c r="C2471" s="0" t="inlineStr">
        <is>
          <t>Iowa Lori Quilted Vest Premium Black</t>
        </is>
      </c>
      <c r="D2471" s="1">
        <v>106753</v>
      </c>
      <c r="E2471" s="0" t="inlineStr">
        <is>
          <t>IA LORI:106753B-M</t>
        </is>
      </c>
      <c r="F2471" s="2">
        <v>800106753028</v>
      </c>
      <c r="G2471" s="0" t="inlineStr">
        <is>
          <t>WOMENS</t>
        </is>
      </c>
      <c r="H2471" s="0" t="inlineStr">
        <is>
          <t>M</t>
        </is>
      </c>
      <c r="I2471" s="0">
        <v>59.99</v>
      </c>
      <c r="J2471" s="0">
        <v>36</v>
      </c>
    </row>
    <row r="2472" spans="1:10" customHeight="0">
      <c r="A2472" s="0">
        <f>HYPERLINK("https://dl.dropboxusercontent.com/scl/fi/pzfnlg5f4ryv7mpiclalw/final-dsc3682-copy.jpg?rlkey=s5cif7g9q9rd7x1qe7r4kw290&amp;dl=0","Click to download Image")</f>
      </c>
      <c r="B2472" s="0">
        <f>HYPERLINK("https://dl.dropboxusercontent.com/scl/fi/mucr3prtsfve8pzfiblkv/womens-size-chartslori.jpg?rlkey=lrvsxwk32zh04bvemlwbqpmo7&amp;dl=0","Click to download SizeChart")</f>
      </c>
      <c r="C2472" s="0" t="inlineStr">
        <is>
          <t>Iowa Lori Quilted Vest Premium Black</t>
        </is>
      </c>
      <c r="D2472" s="1">
        <v>106753</v>
      </c>
      <c r="E2472" s="0" t="inlineStr">
        <is>
          <t>IA LORI:106753C-L</t>
        </is>
      </c>
      <c r="F2472" s="2">
        <v>800106753035</v>
      </c>
      <c r="G2472" s="0" t="inlineStr">
        <is>
          <t>WOMENS</t>
        </is>
      </c>
      <c r="H2472" s="0" t="inlineStr">
        <is>
          <t>L</t>
        </is>
      </c>
      <c r="I2472" s="0">
        <v>59.99</v>
      </c>
      <c r="J2472" s="0">
        <v>37</v>
      </c>
    </row>
    <row r="2473" spans="1:10" customHeight="0">
      <c r="A2473" s="0">
        <f>HYPERLINK("https://dl.dropboxusercontent.com/scl/fi/pzfnlg5f4ryv7mpiclalw/final-dsc3682-copy.jpg?rlkey=s5cif7g9q9rd7x1qe7r4kw290&amp;dl=0","Click to download Image")</f>
      </c>
      <c r="B2473" s="0">
        <f>HYPERLINK("https://dl.dropboxusercontent.com/scl/fi/mucr3prtsfve8pzfiblkv/womens-size-chartslori.jpg?rlkey=lrvsxwk32zh04bvemlwbqpmo7&amp;dl=0","Click to download SizeChart")</f>
      </c>
      <c r="C2473" s="0" t="inlineStr">
        <is>
          <t>Iowa Lori Quilted Vest Premium Black</t>
        </is>
      </c>
      <c r="D2473" s="1">
        <v>106753</v>
      </c>
      <c r="E2473" s="0" t="inlineStr">
        <is>
          <t>IA LORI:106753D-XL</t>
        </is>
      </c>
      <c r="F2473" s="2">
        <v>800106753042</v>
      </c>
      <c r="G2473" s="0" t="inlineStr">
        <is>
          <t>WOMENS</t>
        </is>
      </c>
      <c r="H2473" s="0" t="inlineStr">
        <is>
          <t>XL</t>
        </is>
      </c>
      <c r="I2473" s="0">
        <v>59.99</v>
      </c>
      <c r="J2473" s="0">
        <v>0</v>
      </c>
    </row>
    <row r="2474" spans="1:10" customHeight="0">
      <c r="A2474" s="0">
        <f>HYPERLINK("https://dl.dropboxusercontent.com/scl/fi/pzfnlg5f4ryv7mpiclalw/final-dsc3682-copy.jpg?rlkey=s5cif7g9q9rd7x1qe7r4kw290&amp;dl=0","Click to download Image")</f>
      </c>
      <c r="B2474" s="0">
        <f>HYPERLINK("https://dl.dropboxusercontent.com/scl/fi/mucr3prtsfve8pzfiblkv/womens-size-chartslori.jpg?rlkey=lrvsxwk32zh04bvemlwbqpmo7&amp;dl=0","Click to download SizeChart")</f>
      </c>
      <c r="C2474" s="0" t="inlineStr">
        <is>
          <t>Iowa Lori Quilted Vest Premium Black</t>
        </is>
      </c>
      <c r="D2474" s="1">
        <v>106753</v>
      </c>
      <c r="E2474" s="0" t="inlineStr">
        <is>
          <t>IA LORI:106753E-2XL</t>
        </is>
      </c>
      <c r="F2474" s="2">
        <v>800106753059</v>
      </c>
      <c r="G2474" s="0" t="inlineStr">
        <is>
          <t>WOMENS</t>
        </is>
      </c>
      <c r="H2474" s="0" t="inlineStr">
        <is>
          <t>2XL</t>
        </is>
      </c>
      <c r="I2474" s="0">
        <v>61.99</v>
      </c>
      <c r="J2474" s="0">
        <v>0</v>
      </c>
    </row>
    <row r="2475" spans="1:10" customHeight="0">
      <c r="A2475" s="0">
        <f>HYPERLINK("https://dl.dropboxusercontent.com/scl/fi/pzfnlg5f4ryv7mpiclalw/final-dsc3682-copy.jpg?rlkey=s5cif7g9q9rd7x1qe7r4kw290&amp;dl=0","Click to download Image")</f>
      </c>
      <c r="B2475" s="0">
        <f>HYPERLINK("https://dl.dropboxusercontent.com/scl/fi/mucr3prtsfve8pzfiblkv/womens-size-chartslori.jpg?rlkey=lrvsxwk32zh04bvemlwbqpmo7&amp;dl=0","Click to download SizeChart")</f>
      </c>
      <c r="C2475" s="0" t="inlineStr">
        <is>
          <t>Iowa Lori Quilted Vest Premium Black</t>
        </is>
      </c>
      <c r="D2475" s="1">
        <v>106753</v>
      </c>
      <c r="E2475" s="0" t="inlineStr">
        <is>
          <t>IA LORI:106753F-3XL</t>
        </is>
      </c>
      <c r="F2475" s="2">
        <v>800106753066</v>
      </c>
      <c r="G2475" s="0" t="inlineStr">
        <is>
          <t>WOMENS</t>
        </is>
      </c>
      <c r="H2475" s="0" t="inlineStr">
        <is>
          <t>3XL</t>
        </is>
      </c>
      <c r="I2475" s="0">
        <v>61.99</v>
      </c>
      <c r="J2475" s="0">
        <v>5</v>
      </c>
    </row>
    <row r="2476" spans="1:10" customHeight="0">
      <c r="A2476" s="0">
        <f>HYPERLINK("https://dl.dropboxusercontent.com/scl/fi/n0bh47qhol9rpkh4x6uk9/109183-f.jpg?rlkey=383a6lra5bobv4ung6jxbdx0f&amp;dl=0","Click to download Image")</f>
      </c>
      <c r="B2476" s="0">
        <f>HYPERLINK("https://dl.dropboxusercontent.com/scl/fi/mucr3prtsfve8pzfiblkv/womens-size-chartslori.jpg?rlkey=lrvsxwk32zh04bvemlwbqpmo7&amp;dl=0","Click to download SizeChart")</f>
      </c>
      <c r="C2476" s="0" t="inlineStr">
        <is>
          <t>Iowa Lori Quilted Vest Premium Black</t>
        </is>
      </c>
      <c r="D2476" s="1">
        <v>109183</v>
      </c>
      <c r="E2476" s="0" t="inlineStr">
        <is>
          <t>IOWA SILVER:109183A-S</t>
        </is>
      </c>
      <c r="F2476" s="2">
        <v>800109183013</v>
      </c>
      <c r="G2476" s="0" t="inlineStr">
        <is>
          <t>WOMENS</t>
        </is>
      </c>
      <c r="H2476" s="0" t="inlineStr">
        <is>
          <t>S</t>
        </is>
      </c>
      <c r="I2476" s="0">
        <v>59.99</v>
      </c>
      <c r="J2476" s="0">
        <v>0</v>
      </c>
    </row>
    <row r="2477" spans="1:10" customHeight="0">
      <c r="A2477" s="0">
        <f>HYPERLINK("https://dl.dropboxusercontent.com/scl/fi/n0bh47qhol9rpkh4x6uk9/109183-f.jpg?rlkey=383a6lra5bobv4ung6jxbdx0f&amp;dl=0","Click to download Image")</f>
      </c>
      <c r="B2477" s="0">
        <f>HYPERLINK("https://dl.dropboxusercontent.com/scl/fi/mucr3prtsfve8pzfiblkv/womens-size-chartslori.jpg?rlkey=lrvsxwk32zh04bvemlwbqpmo7&amp;dl=0","Click to download SizeChart")</f>
      </c>
      <c r="C2477" s="0" t="inlineStr">
        <is>
          <t>Iowa Lori Quilted Vest Premium Black</t>
        </is>
      </c>
      <c r="D2477" s="1">
        <v>109183</v>
      </c>
      <c r="E2477" s="0" t="inlineStr">
        <is>
          <t>IOWA LORI SILVER:109183B-M</t>
        </is>
      </c>
      <c r="F2477" s="2">
        <v>800109183020</v>
      </c>
      <c r="G2477" s="0" t="inlineStr">
        <is>
          <t>WOMENS</t>
        </is>
      </c>
      <c r="H2477" s="0" t="inlineStr">
        <is>
          <t>M</t>
        </is>
      </c>
      <c r="I2477" s="0">
        <v>59.99</v>
      </c>
      <c r="J2477" s="0">
        <v>11</v>
      </c>
    </row>
    <row r="2478" spans="1:10" customHeight="0">
      <c r="A2478" s="0">
        <f>HYPERLINK("https://dl.dropboxusercontent.com/scl/fi/n0bh47qhol9rpkh4x6uk9/109183-f.jpg?rlkey=383a6lra5bobv4ung6jxbdx0f&amp;dl=0","Click to download Image")</f>
      </c>
      <c r="B2478" s="0">
        <f>HYPERLINK("https://dl.dropboxusercontent.com/scl/fi/mucr3prtsfve8pzfiblkv/womens-size-chartslori.jpg?rlkey=lrvsxwk32zh04bvemlwbqpmo7&amp;dl=0","Click to download SizeChart")</f>
      </c>
      <c r="C2478" s="0" t="inlineStr">
        <is>
          <t>Iowa Lori Quilted Vest Premium Black</t>
        </is>
      </c>
      <c r="D2478" s="1">
        <v>109183</v>
      </c>
      <c r="E2478" s="0" t="inlineStr">
        <is>
          <t>IOWA LORI SILVER:109183C-L</t>
        </is>
      </c>
      <c r="F2478" s="2">
        <v>800109183037</v>
      </c>
      <c r="G2478" s="0" t="inlineStr">
        <is>
          <t>WOMENS</t>
        </is>
      </c>
      <c r="H2478" s="0" t="inlineStr">
        <is>
          <t>L</t>
        </is>
      </c>
      <c r="I2478" s="0">
        <v>59.99</v>
      </c>
      <c r="J2478" s="0">
        <v>10</v>
      </c>
    </row>
    <row r="2479" spans="1:10" customHeight="0">
      <c r="A2479" s="0">
        <f>HYPERLINK("https://dl.dropboxusercontent.com/scl/fi/n0bh47qhol9rpkh4x6uk9/109183-f.jpg?rlkey=383a6lra5bobv4ung6jxbdx0f&amp;dl=0","Click to download Image")</f>
      </c>
      <c r="B2479" s="0">
        <f>HYPERLINK("https://dl.dropboxusercontent.com/scl/fi/mucr3prtsfve8pzfiblkv/womens-size-chartslori.jpg?rlkey=lrvsxwk32zh04bvemlwbqpmo7&amp;dl=0","Click to download SizeChart")</f>
      </c>
      <c r="C2479" s="0" t="inlineStr">
        <is>
          <t>Iowa Lori Quilted Vest Premium Black</t>
        </is>
      </c>
      <c r="D2479" s="1">
        <v>109183</v>
      </c>
      <c r="E2479" s="0" t="inlineStr">
        <is>
          <t>IOWA LORI SILVER:109183D-XL</t>
        </is>
      </c>
      <c r="F2479" s="2">
        <v>800109183044</v>
      </c>
      <c r="G2479" s="0" t="inlineStr">
        <is>
          <t>WOMENS</t>
        </is>
      </c>
      <c r="H2479" s="0" t="inlineStr">
        <is>
          <t>XL</t>
        </is>
      </c>
      <c r="I2479" s="0">
        <v>59.99</v>
      </c>
      <c r="J2479" s="0">
        <v>5</v>
      </c>
    </row>
    <row r="2480" spans="1:10" customHeight="0">
      <c r="A2480" s="0">
        <f>HYPERLINK("https://dl.dropboxusercontent.com/scl/fi/n0bh47qhol9rpkh4x6uk9/109183-f.jpg?rlkey=383a6lra5bobv4ung6jxbdx0f&amp;dl=0","Click to download Image")</f>
      </c>
      <c r="B2480" s="0">
        <f>HYPERLINK("https://dl.dropboxusercontent.com/scl/fi/mucr3prtsfve8pzfiblkv/womens-size-chartslori.jpg?rlkey=lrvsxwk32zh04bvemlwbqpmo7&amp;dl=0","Click to download SizeChart")</f>
      </c>
      <c r="C2480" s="0" t="inlineStr">
        <is>
          <t>Iowa Lori Quilted Vest Premium Black</t>
        </is>
      </c>
      <c r="D2480" s="1">
        <v>109183</v>
      </c>
      <c r="E2480" s="0" t="inlineStr">
        <is>
          <t>IOWA LORI SILVER:109183E-2XL</t>
        </is>
      </c>
      <c r="F2480" s="2">
        <v>800109183051</v>
      </c>
      <c r="G2480" s="0" t="inlineStr">
        <is>
          <t>WOMENS</t>
        </is>
      </c>
      <c r="H2480" s="0" t="inlineStr">
        <is>
          <t>2XL</t>
        </is>
      </c>
      <c r="I2480" s="0">
        <v>61.99</v>
      </c>
      <c r="J2480" s="0">
        <v>0</v>
      </c>
    </row>
    <row r="2481" spans="1:10" customHeight="0">
      <c r="A2481" s="0">
        <f>HYPERLINK("https://dl.dropboxusercontent.com/scl/fi/n0bh47qhol9rpkh4x6uk9/109183-f.jpg?rlkey=383a6lra5bobv4ung6jxbdx0f&amp;dl=0","Click to download Image")</f>
      </c>
      <c r="B2481" s="0">
        <f>HYPERLINK("https://dl.dropboxusercontent.com/scl/fi/mucr3prtsfve8pzfiblkv/womens-size-chartslori.jpg?rlkey=lrvsxwk32zh04bvemlwbqpmo7&amp;dl=0","Click to download SizeChart")</f>
      </c>
      <c r="C2481" s="0" t="inlineStr">
        <is>
          <t>Iowa Lori Quilted Vest Premium Black</t>
        </is>
      </c>
      <c r="D2481" s="1">
        <v>109183</v>
      </c>
      <c r="E2481" s="0" t="inlineStr">
        <is>
          <t>IOWA LORI SILVER:109183F-3XL</t>
        </is>
      </c>
      <c r="F2481" s="2">
        <v>800109183068</v>
      </c>
      <c r="G2481" s="0" t="inlineStr">
        <is>
          <t>WOMENS</t>
        </is>
      </c>
      <c r="H2481" s="0" t="inlineStr">
        <is>
          <t>3XL</t>
        </is>
      </c>
      <c r="I2481" s="0">
        <v>61.99</v>
      </c>
      <c r="J2481" s="0">
        <v>2</v>
      </c>
    </row>
    <row r="2482" spans="1:10" customHeight="0">
      <c r="A2482" s="0">
        <f>HYPERLINK("https://dl.dropboxusercontent.com/scl/fi/hzc20osird5kh4988bihi/113407af.jpg?rlkey=jvl3ydvgukar58mcmu2djcfe5&amp;dl=0","Click to download Image")</f>
      </c>
      <c r="B2482" s="0">
        <f>HYPERLINK("https://dl.dropboxusercontent.com/scl/fi/tzhaolttfeevrrndyuqej/womens-t-shirt-size-chartsemerald.jpg?rlkey=zu2tbjlgp4gni06u8r33mrk58&amp;dl=0","Click to download SizeChart")</f>
      </c>
      <c r="C2482" s="0" t="inlineStr">
        <is>
          <t>Emerald Women's Scallop Shirt</t>
        </is>
      </c>
      <c r="D2482" s="1">
        <v>113407</v>
      </c>
      <c r="E2482" s="0" t="inlineStr">
        <is>
          <t>IOWA EMERALD GOLD:113407A-S</t>
        </is>
      </c>
      <c r="F2482" s="2">
        <v>800113407044</v>
      </c>
      <c r="G2482" s="0" t="inlineStr">
        <is>
          <t>WOMENS</t>
        </is>
      </c>
      <c r="H2482" s="0" t="inlineStr">
        <is>
          <t>S</t>
        </is>
      </c>
      <c r="I2482" s="0">
        <v>39.99</v>
      </c>
      <c r="J2482" s="0">
        <v>6</v>
      </c>
    </row>
    <row r="2483" spans="1:10" customHeight="0">
      <c r="A2483" s="0">
        <f>HYPERLINK("https://dl.dropboxusercontent.com/scl/fi/hzc20osird5kh4988bihi/113407af.jpg?rlkey=jvl3ydvgukar58mcmu2djcfe5&amp;dl=0","Click to download Image")</f>
      </c>
      <c r="B2483" s="0">
        <f>HYPERLINK("https://dl.dropboxusercontent.com/scl/fi/tzhaolttfeevrrndyuqej/womens-t-shirt-size-chartsemerald.jpg?rlkey=zu2tbjlgp4gni06u8r33mrk58&amp;dl=0","Click to download SizeChart")</f>
      </c>
      <c r="C2483" s="0" t="inlineStr">
        <is>
          <t>Emerald Women's Scallop Shirt</t>
        </is>
      </c>
      <c r="D2483" s="1">
        <v>113407</v>
      </c>
      <c r="E2483" s="0" t="inlineStr">
        <is>
          <t>IOWA EMERALD GOLD:113407B-M</t>
        </is>
      </c>
      <c r="F2483" s="2">
        <v>800113407051</v>
      </c>
      <c r="G2483" s="0" t="inlineStr">
        <is>
          <t>WOMENS</t>
        </is>
      </c>
      <c r="H2483" s="0" t="inlineStr">
        <is>
          <t>M</t>
        </is>
      </c>
      <c r="I2483" s="0">
        <v>39.99</v>
      </c>
      <c r="J2483" s="0">
        <v>10</v>
      </c>
    </row>
    <row r="2484" spans="1:10" customHeight="0">
      <c r="A2484" s="0">
        <f>HYPERLINK("https://dl.dropboxusercontent.com/scl/fi/hzc20osird5kh4988bihi/113407af.jpg?rlkey=jvl3ydvgukar58mcmu2djcfe5&amp;dl=0","Click to download Image")</f>
      </c>
      <c r="B2484" s="0">
        <f>HYPERLINK("https://dl.dropboxusercontent.com/scl/fi/tzhaolttfeevrrndyuqej/womens-t-shirt-size-chartsemerald.jpg?rlkey=zu2tbjlgp4gni06u8r33mrk58&amp;dl=0","Click to download SizeChart")</f>
      </c>
      <c r="C2484" s="0" t="inlineStr">
        <is>
          <t>Emerald Women's Scallop Shirt</t>
        </is>
      </c>
      <c r="D2484" s="1">
        <v>113407</v>
      </c>
      <c r="E2484" s="0" t="inlineStr">
        <is>
          <t>IOWA EMERALD GOLD:113407C-L</t>
        </is>
      </c>
      <c r="F2484" s="2">
        <v>800113407068</v>
      </c>
      <c r="G2484" s="0" t="inlineStr">
        <is>
          <t>WOMENS</t>
        </is>
      </c>
      <c r="H2484" s="0" t="inlineStr">
        <is>
          <t>L</t>
        </is>
      </c>
      <c r="I2484" s="0">
        <v>39.99</v>
      </c>
      <c r="J2484" s="0">
        <v>11</v>
      </c>
    </row>
    <row r="2485" spans="1:10" customHeight="0">
      <c r="A2485" s="0">
        <f>HYPERLINK("https://dl.dropboxusercontent.com/scl/fi/hzc20osird5kh4988bihi/113407af.jpg?rlkey=jvl3ydvgukar58mcmu2djcfe5&amp;dl=0","Click to download Image")</f>
      </c>
      <c r="B2485" s="0">
        <f>HYPERLINK("https://dl.dropboxusercontent.com/scl/fi/tzhaolttfeevrrndyuqej/womens-t-shirt-size-chartsemerald.jpg?rlkey=zu2tbjlgp4gni06u8r33mrk58&amp;dl=0","Click to download SizeChart")</f>
      </c>
      <c r="C2485" s="0" t="inlineStr">
        <is>
          <t>Emerald Women's Scallop Shirt</t>
        </is>
      </c>
      <c r="D2485" s="1">
        <v>113407</v>
      </c>
      <c r="E2485" s="0" t="inlineStr">
        <is>
          <t>IOWA EMERALD GOLD:113407D-XL</t>
        </is>
      </c>
      <c r="F2485" s="2">
        <v>800113407075</v>
      </c>
      <c r="G2485" s="0" t="inlineStr">
        <is>
          <t>WOMENS</t>
        </is>
      </c>
      <c r="H2485" s="0" t="inlineStr">
        <is>
          <t>XL</t>
        </is>
      </c>
      <c r="I2485" s="0">
        <v>39.99</v>
      </c>
      <c r="J2485" s="0">
        <v>5</v>
      </c>
    </row>
    <row r="2486" spans="1:10" customHeight="0">
      <c r="A2486" s="0">
        <f>HYPERLINK("https://dl.dropboxusercontent.com/scl/fi/hzc20osird5kh4988bihi/113407af.jpg?rlkey=jvl3ydvgukar58mcmu2djcfe5&amp;dl=0","Click to download Image")</f>
      </c>
      <c r="B2486" s="0">
        <f>HYPERLINK("https://dl.dropboxusercontent.com/scl/fi/tzhaolttfeevrrndyuqej/womens-t-shirt-size-chartsemerald.jpg?rlkey=zu2tbjlgp4gni06u8r33mrk58&amp;dl=0","Click to download SizeChart")</f>
      </c>
      <c r="C2486" s="0" t="inlineStr">
        <is>
          <t>Emerald Women's Scallop Shirt</t>
        </is>
      </c>
      <c r="D2486" s="1">
        <v>113407</v>
      </c>
      <c r="E2486" s="0" t="inlineStr">
        <is>
          <t>IOWA EMERALD GOLD:113407E-2XL</t>
        </is>
      </c>
      <c r="F2486" s="2">
        <v>800113407082</v>
      </c>
      <c r="G2486" s="0" t="inlineStr">
        <is>
          <t>WOMENS</t>
        </is>
      </c>
      <c r="H2486" s="0" t="inlineStr">
        <is>
          <t>2XL</t>
        </is>
      </c>
      <c r="I2486" s="0">
        <v>41.99</v>
      </c>
      <c r="J2486" s="0">
        <v>2</v>
      </c>
    </row>
    <row r="2487" spans="1:10" customHeight="0">
      <c r="A2487" s="0">
        <f>HYPERLINK("https://dl.dropboxusercontent.com/scl/fi/hzc20osird5kh4988bihi/113407af.jpg?rlkey=jvl3ydvgukar58mcmu2djcfe5&amp;dl=0","Click to download Image")</f>
      </c>
      <c r="B2487" s="0">
        <f>HYPERLINK("https://dl.dropboxusercontent.com/scl/fi/tzhaolttfeevrrndyuqej/womens-t-shirt-size-chartsemerald.jpg?rlkey=zu2tbjlgp4gni06u8r33mrk58&amp;dl=0","Click to download SizeChart")</f>
      </c>
      <c r="C2487" s="0" t="inlineStr">
        <is>
          <t>Emerald Women's Scallop Shirt</t>
        </is>
      </c>
      <c r="D2487" s="1">
        <v>113407</v>
      </c>
      <c r="E2487" s="0" t="inlineStr">
        <is>
          <t>IOWA EMERALD GOLD:113407F-3XL</t>
        </is>
      </c>
      <c r="F2487" s="2">
        <v>800113407099</v>
      </c>
      <c r="G2487" s="0" t="inlineStr">
        <is>
          <t>WOMENS</t>
        </is>
      </c>
      <c r="H2487" s="0" t="inlineStr">
        <is>
          <t>3XL</t>
        </is>
      </c>
      <c r="I2487" s="0">
        <v>41.99</v>
      </c>
      <c r="J2487" s="0">
        <v>1</v>
      </c>
    </row>
    <row r="2488" spans="1:10" customHeight="0">
      <c r="A2488" s="0">
        <f>HYPERLINK("https://dl.dropboxusercontent.com/scl/fi/hzc20osird5kh4988bihi/113407af.jpg?rlkey=jvl3ydvgukar58mcmu2djcfe5&amp;dl=0","Click to download Image")</f>
      </c>
      <c r="B2488" s="0">
        <f>HYPERLINK("https://dl.dropboxusercontent.com/scl/fi/tzhaolttfeevrrndyuqej/womens-t-shirt-size-chartsemerald.jpg?rlkey=zu2tbjlgp4gni06u8r33mrk58&amp;dl=0","Click to download SizeChart")</f>
      </c>
      <c r="C2488" s="0" t="inlineStr">
        <is>
          <t>Emerald Women's Scallop Shirt</t>
        </is>
      </c>
      <c r="D2488" s="1">
        <v>113407</v>
      </c>
      <c r="E2488" s="0" t="inlineStr">
        <is>
          <t>IOWA EMERALD GOLD 12 PACK:113407Z-12PK</t>
        </is>
      </c>
      <c r="F2488" s="2">
        <v>800113407990</v>
      </c>
      <c r="G2488" s="0" t="inlineStr">
        <is>
          <t>WOMENS</t>
        </is>
      </c>
      <c r="H2488" s="0" t="inlineStr">
        <is>
          <t>12 PACK</t>
        </is>
      </c>
      <c r="I2488" s="0">
        <v>384</v>
      </c>
      <c r="J2488" s="0">
        <v>0</v>
      </c>
    </row>
    <row r="2489" spans="1:10" customHeight="0">
      <c r="A2489" s="0">
        <f>HYPERLINK("https://dl.dropboxusercontent.com/scl/fi/thaz67bjukaogrfrzqa32/113069af.jpg?rlkey=kj8a9xbf5wntxornopwimxd66&amp;dl=0","Click to download Image")</f>
      </c>
      <c r="B2489" s="0">
        <f>HYPERLINK("https://dl.dropboxusercontent.com/scl/fi/432djr5cxy1i2hdi6a4kq/womens-t-shirt-size-chartscassidy.jpg?rlkey=gcdksm6gb5ip2xy0eioom9snt&amp;dl=0","Click to download SizeChart")</f>
      </c>
      <c r="C2489" s="0" t="inlineStr">
        <is>
          <t>Cassidy Womens Ringer T-shirt</t>
        </is>
      </c>
      <c r="D2489" s="1">
        <v>113069</v>
      </c>
      <c r="E2489" s="0" t="inlineStr">
        <is>
          <t>IOWA CASSIDY W BLACK:113069A-S</t>
        </is>
      </c>
      <c r="F2489" s="2">
        <v>800113069044</v>
      </c>
      <c r="G2489" s="0" t="inlineStr">
        <is>
          <t>WOMENS</t>
        </is>
      </c>
      <c r="H2489" s="0" t="inlineStr">
        <is>
          <t>S</t>
        </is>
      </c>
      <c r="I2489" s="0">
        <v>26.99</v>
      </c>
      <c r="J2489" s="0">
        <v>0</v>
      </c>
    </row>
    <row r="2490" spans="1:10" customHeight="0">
      <c r="A2490" s="0">
        <f>HYPERLINK("https://dl.dropboxusercontent.com/scl/fi/thaz67bjukaogrfrzqa32/113069af.jpg?rlkey=kj8a9xbf5wntxornopwimxd66&amp;dl=0","Click to download Image")</f>
      </c>
      <c r="B2490" s="0">
        <f>HYPERLINK("https://dl.dropboxusercontent.com/scl/fi/432djr5cxy1i2hdi6a4kq/womens-t-shirt-size-chartscassidy.jpg?rlkey=gcdksm6gb5ip2xy0eioom9snt&amp;dl=0","Click to download SizeChart")</f>
      </c>
      <c r="C2490" s="0" t="inlineStr">
        <is>
          <t>Cassidy Womens Ringer T-shirt</t>
        </is>
      </c>
      <c r="D2490" s="1">
        <v>113069</v>
      </c>
      <c r="E2490" s="0" t="inlineStr">
        <is>
          <t>IOWA CASSIDY W BLACK:113069B-M</t>
        </is>
      </c>
      <c r="F2490" s="2">
        <v>800113069051</v>
      </c>
      <c r="G2490" s="0" t="inlineStr">
        <is>
          <t>WOMENS</t>
        </is>
      </c>
      <c r="H2490" s="0" t="inlineStr">
        <is>
          <t>M</t>
        </is>
      </c>
      <c r="I2490" s="0">
        <v>26.99</v>
      </c>
      <c r="J2490" s="0">
        <v>7</v>
      </c>
    </row>
    <row r="2491" spans="1:10" customHeight="0">
      <c r="A2491" s="0">
        <f>HYPERLINK("https://dl.dropboxusercontent.com/scl/fi/thaz67bjukaogrfrzqa32/113069af.jpg?rlkey=kj8a9xbf5wntxornopwimxd66&amp;dl=0","Click to download Image")</f>
      </c>
      <c r="B2491" s="0">
        <f>HYPERLINK("https://dl.dropboxusercontent.com/scl/fi/432djr5cxy1i2hdi6a4kq/womens-t-shirt-size-chartscassidy.jpg?rlkey=gcdksm6gb5ip2xy0eioom9snt&amp;dl=0","Click to download SizeChart")</f>
      </c>
      <c r="C2491" s="0" t="inlineStr">
        <is>
          <t>Cassidy Womens Ringer T-shirt</t>
        </is>
      </c>
      <c r="D2491" s="1">
        <v>113069</v>
      </c>
      <c r="E2491" s="0" t="inlineStr">
        <is>
          <t>IOWA CASSIDY W BLACK:113069C-L</t>
        </is>
      </c>
      <c r="F2491" s="2">
        <v>800113069068</v>
      </c>
      <c r="G2491" s="0" t="inlineStr">
        <is>
          <t>WOMENS</t>
        </is>
      </c>
      <c r="H2491" s="0" t="inlineStr">
        <is>
          <t>L</t>
        </is>
      </c>
      <c r="I2491" s="0">
        <v>26.99</v>
      </c>
      <c r="J2491" s="0">
        <v>14</v>
      </c>
    </row>
    <row r="2492" spans="1:10" customHeight="0">
      <c r="A2492" s="0">
        <f>HYPERLINK("https://dl.dropboxusercontent.com/scl/fi/thaz67bjukaogrfrzqa32/113069af.jpg?rlkey=kj8a9xbf5wntxornopwimxd66&amp;dl=0","Click to download Image")</f>
      </c>
      <c r="B2492" s="0">
        <f>HYPERLINK("https://dl.dropboxusercontent.com/scl/fi/432djr5cxy1i2hdi6a4kq/womens-t-shirt-size-chartscassidy.jpg?rlkey=gcdksm6gb5ip2xy0eioom9snt&amp;dl=0","Click to download SizeChart")</f>
      </c>
      <c r="C2492" s="0" t="inlineStr">
        <is>
          <t>Cassidy Womens Ringer T-shirt</t>
        </is>
      </c>
      <c r="D2492" s="1">
        <v>113069</v>
      </c>
      <c r="E2492" s="0" t="inlineStr">
        <is>
          <t>IOWA CASSIDY W BLACK:113069D-XL</t>
        </is>
      </c>
      <c r="F2492" s="2">
        <v>800113069075</v>
      </c>
      <c r="G2492" s="0" t="inlineStr">
        <is>
          <t>WOMENS</t>
        </is>
      </c>
      <c r="H2492" s="0" t="inlineStr">
        <is>
          <t>XL</t>
        </is>
      </c>
      <c r="I2492" s="0">
        <v>26.99</v>
      </c>
      <c r="J2492" s="0">
        <v>1</v>
      </c>
    </row>
    <row r="2493" spans="1:10" customHeight="0">
      <c r="A2493" s="0">
        <f>HYPERLINK("https://dl.dropboxusercontent.com/scl/fi/thaz67bjukaogrfrzqa32/113069af.jpg?rlkey=kj8a9xbf5wntxornopwimxd66&amp;dl=0","Click to download Image")</f>
      </c>
      <c r="B2493" s="0">
        <f>HYPERLINK("https://dl.dropboxusercontent.com/scl/fi/432djr5cxy1i2hdi6a4kq/womens-t-shirt-size-chartscassidy.jpg?rlkey=gcdksm6gb5ip2xy0eioom9snt&amp;dl=0","Click to download SizeChart")</f>
      </c>
      <c r="C2493" s="0" t="inlineStr">
        <is>
          <t>Cassidy Womens Ringer T-shirt</t>
        </is>
      </c>
      <c r="D2493" s="1">
        <v>113069</v>
      </c>
      <c r="E2493" s="0" t="inlineStr">
        <is>
          <t>IOWA CASSIDY W BLACK:113069E-2XL</t>
        </is>
      </c>
      <c r="F2493" s="2">
        <v>800113069082</v>
      </c>
      <c r="G2493" s="0" t="inlineStr">
        <is>
          <t>WOMENS</t>
        </is>
      </c>
      <c r="H2493" s="0" t="inlineStr">
        <is>
          <t>2XL</t>
        </is>
      </c>
      <c r="I2493" s="0">
        <v>28.99</v>
      </c>
      <c r="J2493" s="0">
        <v>0</v>
      </c>
    </row>
    <row r="2494" spans="1:10" customHeight="0">
      <c r="A2494" s="0">
        <f>HYPERLINK("https://dl.dropboxusercontent.com/scl/fi/thaz67bjukaogrfrzqa32/113069af.jpg?rlkey=kj8a9xbf5wntxornopwimxd66&amp;dl=0","Click to download Image")</f>
      </c>
      <c r="B2494" s="0">
        <f>HYPERLINK("https://dl.dropboxusercontent.com/scl/fi/432djr5cxy1i2hdi6a4kq/womens-t-shirt-size-chartscassidy.jpg?rlkey=gcdksm6gb5ip2xy0eioom9snt&amp;dl=0","Click to download SizeChart")</f>
      </c>
      <c r="C2494" s="0" t="inlineStr">
        <is>
          <t>Cassidy Womens Ringer T-shirt</t>
        </is>
      </c>
      <c r="D2494" s="1">
        <v>113069</v>
      </c>
      <c r="E2494" s="0" t="inlineStr">
        <is>
          <t>IOWA CASSIDY W BLACK:113069F-3XL</t>
        </is>
      </c>
      <c r="F2494" s="2">
        <v>800113069099</v>
      </c>
      <c r="G2494" s="0" t="inlineStr">
        <is>
          <t>WOMENS</t>
        </is>
      </c>
      <c r="H2494" s="0" t="inlineStr">
        <is>
          <t>3XL</t>
        </is>
      </c>
      <c r="I2494" s="0">
        <v>28.99</v>
      </c>
      <c r="J2494" s="0">
        <v>3</v>
      </c>
    </row>
    <row r="2495" spans="1:10" customHeight="0">
      <c r="A2495" s="0">
        <f>HYPERLINK("https://dl.dropboxusercontent.com/scl/fi/thaz67bjukaogrfrzqa32/113069af.jpg?rlkey=kj8a9xbf5wntxornopwimxd66&amp;dl=0","Click to download Image")</f>
      </c>
      <c r="B2495" s="0">
        <f>HYPERLINK("https://dl.dropboxusercontent.com/scl/fi/432djr5cxy1i2hdi6a4kq/womens-t-shirt-size-chartscassidy.jpg?rlkey=gcdksm6gb5ip2xy0eioom9snt&amp;dl=0","Click to download SizeChart")</f>
      </c>
      <c r="C2495" s="0" t="inlineStr">
        <is>
          <t>Cassidy Womens Ringer T-shirt</t>
        </is>
      </c>
      <c r="D2495" s="1">
        <v>113069</v>
      </c>
      <c r="E2495" s="0" t="inlineStr">
        <is>
          <t>IOWA CASSIDY W BLACK 12 PACK (113069)</t>
        </is>
      </c>
      <c r="F2495" s="2">
        <v>800113069990</v>
      </c>
      <c r="G2495" s="0" t="inlineStr">
        <is>
          <t>WOMENS</t>
        </is>
      </c>
      <c r="H2495" s="0" t="inlineStr">
        <is>
          <t>12 PACK</t>
        </is>
      </c>
      <c r="I2495" s="0">
        <v>259.2</v>
      </c>
      <c r="J2495" s="0">
        <v>0</v>
      </c>
    </row>
    <row r="2496" spans="1:10" customHeight="0">
      <c r="A2496" s="0">
        <f>HYPERLINK("https://dl.dropboxusercontent.com/scl/fi/vsf1pyzocwh4rjz79dne5/ia-af.jpg?rlkey=kiu92up9l0nwc9dxzedn9d83f&amp;dl=0","Click to download Image")</f>
      </c>
      <c r="C2496" s="0" t="inlineStr">
        <is>
          <t>Sheridan Men's Cap </t>
        </is>
      </c>
      <c r="D2496" s="1">
        <v>109880</v>
      </c>
      <c r="E2496" s="0" t="inlineStr">
        <is>
          <t>IOWA SHERIDAN:109880</t>
        </is>
      </c>
      <c r="F2496" s="2">
        <v>700109880014</v>
      </c>
      <c r="G2496" s="0" t="inlineStr">
        <is>
          <t>MENS</t>
        </is>
      </c>
      <c r="H2496" s="0" t="inlineStr">
        <is>
          <t>ADULT</t>
        </is>
      </c>
      <c r="I2496" s="0">
        <v>22</v>
      </c>
      <c r="J2496" s="0">
        <v>70</v>
      </c>
    </row>
    <row r="2497" spans="1:10" customHeight="0">
      <c r="A2497" s="0">
        <f>HYPERLINK("https://dl.dropboxusercontent.com/scl/fi/riic7wrwrbkstn875azey/113587af.jpg?rlkey=mdxkufci64y1swkf26vjz8o50&amp;dl=0","Click to download Image")</f>
      </c>
      <c r="C2497" s="0" t="inlineStr">
        <is>
          <t>Sterling Womens Cap</t>
        </is>
      </c>
      <c r="D2497" s="1">
        <v>113587</v>
      </c>
      <c r="E2497" s="0" t="inlineStr">
        <is>
          <t>IOWA STERLING:113587</t>
        </is>
      </c>
      <c r="F2497" s="2">
        <v>700113587015</v>
      </c>
      <c r="G2497" s="0" t="inlineStr">
        <is>
          <t>WOMENS</t>
        </is>
      </c>
      <c r="H2497" s="0" t="inlineStr">
        <is>
          <t>WOMENS</t>
        </is>
      </c>
      <c r="I2497" s="0">
        <v>20.99</v>
      </c>
      <c r="J2497" s="0">
        <v>17</v>
      </c>
    </row>
    <row r="2498" spans="1:10" customHeight="0">
      <c r="A2498" s="0">
        <f>HYPERLINK("https://dl.dropboxusercontent.com/scl/fi/kk44tx9kwqosdyxolmf6j/ia-af.jpg?rlkey=bnh99fnbfjgroyesnoyi4js1m&amp;dl=0","Click to download Image")</f>
      </c>
      <c r="C2498" s="0" t="inlineStr">
        <is>
          <t>Eve Womens Cap</t>
        </is>
      </c>
      <c r="D2498" s="1">
        <v>109868</v>
      </c>
      <c r="E2498" s="0" t="inlineStr">
        <is>
          <t>IOWA EVE:109868</t>
        </is>
      </c>
      <c r="F2498" s="2">
        <v>700109868012</v>
      </c>
      <c r="G2498" s="0" t="inlineStr">
        <is>
          <t>WOMENS</t>
        </is>
      </c>
      <c r="H2498" s="0" t="inlineStr">
        <is>
          <t>WOMENS</t>
        </is>
      </c>
      <c r="I2498" s="0">
        <v>20.99</v>
      </c>
      <c r="J2498" s="0">
        <v>159</v>
      </c>
    </row>
    <row r="2499" spans="1:10" customHeight="0">
      <c r="A2499" s="0">
        <f>HYPERLINK("https://dl.dropboxusercontent.com/scl/fi/ha5lkq4hlbi97pris4tog/109865af05590.jpg?rlkey=stw979jrkkxr358y55epnhdgf&amp;dl=0","Click to download Image")</f>
      </c>
      <c r="C2499" s="0" t="inlineStr">
        <is>
          <t>Krystal Womens Cap</t>
        </is>
      </c>
      <c r="D2499" s="1">
        <v>109865</v>
      </c>
      <c r="E2499" s="0" t="inlineStr">
        <is>
          <t>IOWA KRYSTAL:109865</t>
        </is>
      </c>
      <c r="F2499" s="2">
        <v>700109865011</v>
      </c>
      <c r="G2499" s="0" t="inlineStr">
        <is>
          <t>WOMENS</t>
        </is>
      </c>
      <c r="H2499" s="0" t="inlineStr">
        <is>
          <t>WOMENS</t>
        </is>
      </c>
      <c r="I2499" s="0">
        <v>21</v>
      </c>
      <c r="J2499" s="0">
        <v>89</v>
      </c>
    </row>
    <row r="2500" spans="1:10" customHeight="0">
      <c r="A2500" s="0">
        <f>HYPERLINK("https://dl.dropboxusercontent.com/scl/fi/ad8zsk0kgmvhzj44tnerk/103827af38074.jpg?rlkey=me1v1zjdedoedwcf2c3jjzaqr&amp;dl=0","Click to download Image")</f>
      </c>
      <c r="C2500" s="0" t="inlineStr">
        <is>
          <t>Flint Ladies Pullover</t>
        </is>
      </c>
      <c r="D2500" s="1">
        <v>106448</v>
      </c>
      <c r="E2500" s="0" t="inlineStr">
        <is>
          <t>IOWA BBALL FLINT LADIES:106448E - 2XL</t>
        </is>
      </c>
      <c r="G2500" s="0" t="inlineStr">
        <is>
          <t>WOMENS</t>
        </is>
      </c>
      <c r="H2500" s="0" t="inlineStr">
        <is>
          <t>2XL</t>
        </is>
      </c>
      <c r="I2500" s="0">
        <v>39.99</v>
      </c>
      <c r="J2500" s="0">
        <v>4</v>
      </c>
    </row>
    <row r="2501" spans="1:10" customHeight="0">
      <c r="A2501" s="0">
        <f>HYPERLINK("https://dl.dropboxusercontent.com/scl/fi/ad8zsk0kgmvhzj44tnerk/103827af38074.jpg?rlkey=me1v1zjdedoedwcf2c3jjzaqr&amp;dl=0","Click to download Image")</f>
      </c>
      <c r="C2501" s="0" t="inlineStr">
        <is>
          <t>Flint Ladies Pullover</t>
        </is>
      </c>
      <c r="D2501" s="1">
        <v>106448</v>
      </c>
      <c r="E2501" s="0" t="inlineStr">
        <is>
          <t>IOWA BBALL FLINT LADIES:106448F - 3XL</t>
        </is>
      </c>
      <c r="G2501" s="0" t="inlineStr">
        <is>
          <t>WOMENS</t>
        </is>
      </c>
      <c r="H2501" s="0" t="inlineStr">
        <is>
          <t>3XL</t>
        </is>
      </c>
      <c r="I2501" s="0">
        <v>39.99</v>
      </c>
      <c r="J2501" s="0">
        <v>4</v>
      </c>
    </row>
    <row r="2502" spans="1:10" customHeight="0">
      <c r="A2502" s="0">
        <f>HYPERLINK("https://dl.dropboxusercontent.com/scl/fi/o54xek2eyululizvnc2f8/113320-af.jpg?rlkey=isayaczwf8m19nr0y511paarc&amp;dl=0","Click to download Image")</f>
      </c>
      <c r="C2502" s="0" t="inlineStr">
        <is>
          <t>Autumn Youth Cap</t>
        </is>
      </c>
      <c r="D2502" s="1">
        <v>113320</v>
      </c>
      <c r="E2502" s="0" t="inlineStr">
        <is>
          <t>IOWA AUTUMN YOUTH:113320</t>
        </is>
      </c>
      <c r="F2502" s="2">
        <v>700113320032</v>
      </c>
      <c r="G2502" s="0" t="inlineStr">
        <is>
          <t>YOUTH</t>
        </is>
      </c>
      <c r="H2502" s="0" t="inlineStr">
        <is>
          <t>YOUTH</t>
        </is>
      </c>
      <c r="I2502" s="0">
        <v>20.99</v>
      </c>
      <c r="J2502" s="0">
        <v>42</v>
      </c>
    </row>
    <row r="2503" spans="1:10" customHeight="0">
      <c r="A2503" s="0">
        <f>HYPERLINK("https://dl.dropboxusercontent.com/scl/fi/bagsh9a5e1f9ohp8zkhqu/ia-af.jpg?rlkey=1w37m7h5oqmpfpalggv16qua8&amp;dl=0","Click to download Image")</f>
      </c>
      <c r="C2503" s="0" t="inlineStr">
        <is>
          <t>Laurel Womens Cap</t>
        </is>
      </c>
      <c r="D2503" s="1">
        <v>109815</v>
      </c>
      <c r="E2503" s="0" t="inlineStr">
        <is>
          <t>IOWA LAUREL:109815</t>
        </is>
      </c>
      <c r="F2503" s="2">
        <v>700109815016</v>
      </c>
      <c r="G2503" s="0" t="inlineStr">
        <is>
          <t>WOMENS</t>
        </is>
      </c>
      <c r="H2503" s="0" t="inlineStr">
        <is>
          <t>WOMENS</t>
        </is>
      </c>
      <c r="I2503" s="0">
        <v>19</v>
      </c>
      <c r="J2503" s="0">
        <v>68</v>
      </c>
    </row>
    <row r="2504" spans="1:10" customHeight="0">
      <c r="A2504" s="0">
        <f>HYPERLINK("https://dl.dropboxusercontent.com/scl/fi/cj0vfw608foj79ld1oxni/109780af75676.jpg?rlkey=93wcdmuiaeqqocqjkob7dl0hh&amp;dl=0","Click to download Image")</f>
      </c>
      <c r="C2504" s="0" t="inlineStr">
        <is>
          <t>Devin Womens Cap</t>
        </is>
      </c>
      <c r="D2504" s="1">
        <v>109780</v>
      </c>
      <c r="E2504" s="0" t="inlineStr">
        <is>
          <t>IOWA DEVIN:109780</t>
        </is>
      </c>
      <c r="F2504" s="2">
        <v>700109780017</v>
      </c>
      <c r="G2504" s="0" t="inlineStr">
        <is>
          <t>WOMENS</t>
        </is>
      </c>
      <c r="H2504" s="0" t="inlineStr">
        <is>
          <t>WOMENS</t>
        </is>
      </c>
      <c r="I2504" s="0">
        <v>22</v>
      </c>
      <c r="J2504" s="0">
        <v>37</v>
      </c>
    </row>
    <row r="2505" spans="1:10" customHeight="0">
      <c r="A2505" s="0">
        <f>HYPERLINK("https://dl.dropboxusercontent.com/scl/fi/vs3zej1826p7fknwrk7k4/sherpa-special-copy-14.jpg?rlkey=qohad93ntu6291z8hwjjowb4k&amp;dl=0","Click to download Image")</f>
      </c>
      <c r="B2505" s="0">
        <f>HYPERLINK("https://dl.dropboxusercontent.com/scl/fi/8rb2834ndrby4fft1sirz/graphic-update22022-youth.jpg?rlkey=lnt460qx7o1emvtjox417kkx7&amp;dl=0","Click to download SizeChart")</f>
      </c>
      <c r="C2505" s="0" t="inlineStr">
        <is>
          <t>Meadow Youth Pullover</t>
        </is>
      </c>
      <c r="D2505" s="1">
        <v>152546</v>
      </c>
      <c r="E2505" s="0" t="inlineStr">
        <is>
          <t>IOWA MEADOW Y BK:152546B-YS</t>
        </is>
      </c>
      <c r="G2505" s="0" t="inlineStr">
        <is>
          <t>YOUTH</t>
        </is>
      </c>
      <c r="H2505" s="0" t="inlineStr">
        <is>
          <t>YS</t>
        </is>
      </c>
      <c r="I2505" s="0">
        <v>49.99</v>
      </c>
      <c r="J2505" s="0">
        <v>68</v>
      </c>
    </row>
    <row r="2506" spans="1:10" customHeight="0">
      <c r="A2506" s="0">
        <f>HYPERLINK("https://dl.dropboxusercontent.com/scl/fi/vs3zej1826p7fknwrk7k4/sherpa-special-copy-14.jpg?rlkey=qohad93ntu6291z8hwjjowb4k&amp;dl=0","Click to download Image")</f>
      </c>
      <c r="B2506" s="0">
        <f>HYPERLINK("https://dl.dropboxusercontent.com/scl/fi/8rb2834ndrby4fft1sirz/graphic-update22022-youth.jpg?rlkey=lnt460qx7o1emvtjox417kkx7&amp;dl=0","Click to download SizeChart")</f>
      </c>
      <c r="C2506" s="0" t="inlineStr">
        <is>
          <t>Meadow Youth Pullover</t>
        </is>
      </c>
      <c r="D2506" s="1">
        <v>152546</v>
      </c>
      <c r="E2506" s="0" t="inlineStr">
        <is>
          <t>IOWA MEADOW Y BK:152546C-YM</t>
        </is>
      </c>
      <c r="G2506" s="0" t="inlineStr">
        <is>
          <t>YOUTH</t>
        </is>
      </c>
      <c r="H2506" s="0" t="inlineStr">
        <is>
          <t>YM</t>
        </is>
      </c>
      <c r="I2506" s="0">
        <v>49.99</v>
      </c>
      <c r="J2506" s="0">
        <v>67</v>
      </c>
    </row>
    <row r="2507" spans="1:10" customHeight="0">
      <c r="A2507" s="0">
        <f>HYPERLINK("https://dl.dropboxusercontent.com/scl/fi/vs3zej1826p7fknwrk7k4/sherpa-special-copy-14.jpg?rlkey=qohad93ntu6291z8hwjjowb4k&amp;dl=0","Click to download Image")</f>
      </c>
      <c r="B2507" s="0">
        <f>HYPERLINK("https://dl.dropboxusercontent.com/scl/fi/8rb2834ndrby4fft1sirz/graphic-update22022-youth.jpg?rlkey=lnt460qx7o1emvtjox417kkx7&amp;dl=0","Click to download SizeChart")</f>
      </c>
      <c r="C2507" s="0" t="inlineStr">
        <is>
          <t>Meadow Youth Pullover</t>
        </is>
      </c>
      <c r="D2507" s="1">
        <v>152546</v>
      </c>
      <c r="E2507" s="0" t="inlineStr">
        <is>
          <t>IOWA MEADOW Y BK:152546D-YL</t>
        </is>
      </c>
      <c r="G2507" s="0" t="inlineStr">
        <is>
          <t>YOUTH</t>
        </is>
      </c>
      <c r="H2507" s="0" t="inlineStr">
        <is>
          <t>YL</t>
        </is>
      </c>
      <c r="I2507" s="0">
        <v>49.99</v>
      </c>
      <c r="J2507" s="0">
        <v>69</v>
      </c>
    </row>
    <row r="2508" spans="1:10" customHeight="0">
      <c r="A2508" s="0">
        <f>HYPERLINK("https://dl.dropboxusercontent.com/scl/fi/vs3zej1826p7fknwrk7k4/sherpa-special-copy-14.jpg?rlkey=qohad93ntu6291z8hwjjowb4k&amp;dl=0","Click to download Image")</f>
      </c>
      <c r="B2508" s="0">
        <f>HYPERLINK("https://dl.dropboxusercontent.com/scl/fi/8rb2834ndrby4fft1sirz/graphic-update22022-youth.jpg?rlkey=lnt460qx7o1emvtjox417kkx7&amp;dl=0","Click to download SizeChart")</f>
      </c>
      <c r="C2508" s="0" t="inlineStr">
        <is>
          <t>Meadow Youth Pullover</t>
        </is>
      </c>
      <c r="D2508" s="1">
        <v>152546</v>
      </c>
      <c r="E2508" s="0" t="inlineStr">
        <is>
          <t>IOWA MEADOW Y BK:152546E-YXL</t>
        </is>
      </c>
      <c r="G2508" s="0" t="inlineStr">
        <is>
          <t>YOUTH</t>
        </is>
      </c>
      <c r="H2508" s="0" t="inlineStr">
        <is>
          <t>YXL</t>
        </is>
      </c>
      <c r="I2508" s="0">
        <v>49.99</v>
      </c>
      <c r="J2508" s="0">
        <v>68</v>
      </c>
    </row>
    <row r="2509" spans="1:10" customHeight="0">
      <c r="A2509" s="0">
        <f>HYPERLINK("https://dl.dropboxusercontent.com/scl/fi/wvw204ck5wsyez2ykova5/114876-af.jpg?rlkey=q9x3ynneic9ht84r8rzu2hokg&amp;dl=0","Click to download Image")</f>
      </c>
      <c r="B2509" s="0">
        <f>HYPERLINK("https://dl.dropboxusercontent.com/scl/fi/lun4t2j3is3zey2glwq3d/graphic-update22022-youth.jpg?rlkey=19ivbvvl4k7lltp0w0suna36r&amp;dl=0","Click to download SizeChart")</f>
      </c>
      <c r="C2509" s="0" t="inlineStr">
        <is>
          <t>Birdie Youth Tri-Blend Button Up</t>
        </is>
      </c>
      <c r="D2509" s="1">
        <v>113066</v>
      </c>
      <c r="E2509" s="0" t="inlineStr">
        <is>
          <t>IOWA BIRDIE Y GOLD:113066B-YS</t>
        </is>
      </c>
      <c r="F2509" s="2">
        <v>800113066012</v>
      </c>
      <c r="G2509" s="0" t="inlineStr">
        <is>
          <t>YOUTH</t>
        </is>
      </c>
      <c r="H2509" s="0" t="inlineStr">
        <is>
          <t>YS</t>
        </is>
      </c>
      <c r="I2509" s="0">
        <v>34.99</v>
      </c>
      <c r="J2509" s="0">
        <v>11</v>
      </c>
    </row>
    <row r="2510" spans="1:10" customHeight="0">
      <c r="A2510" s="0">
        <f>HYPERLINK("https://dl.dropboxusercontent.com/scl/fi/wvw204ck5wsyez2ykova5/114876-af.jpg?rlkey=q9x3ynneic9ht84r8rzu2hokg&amp;dl=0","Click to download Image")</f>
      </c>
      <c r="B2510" s="0">
        <f>HYPERLINK("https://dl.dropboxusercontent.com/scl/fi/lun4t2j3is3zey2glwq3d/graphic-update22022-youth.jpg?rlkey=19ivbvvl4k7lltp0w0suna36r&amp;dl=0","Click to download SizeChart")</f>
      </c>
      <c r="C2510" s="0" t="inlineStr">
        <is>
          <t>Birdie Youth Tri-Blend Button Up</t>
        </is>
      </c>
      <c r="D2510" s="1">
        <v>113066</v>
      </c>
      <c r="E2510" s="0" t="inlineStr">
        <is>
          <t>IOWA BIRDIE Y GOLD:113066C-YM</t>
        </is>
      </c>
      <c r="F2510" s="2">
        <v>800113066029</v>
      </c>
      <c r="G2510" s="0" t="inlineStr">
        <is>
          <t>YOUTH</t>
        </is>
      </c>
      <c r="H2510" s="0" t="inlineStr">
        <is>
          <t>YM</t>
        </is>
      </c>
      <c r="I2510" s="0">
        <v>34.99</v>
      </c>
      <c r="J2510" s="0">
        <v>11</v>
      </c>
    </row>
    <row r="2511" spans="1:10" customHeight="0">
      <c r="A2511" s="0">
        <f>HYPERLINK("https://dl.dropboxusercontent.com/scl/fi/wvw204ck5wsyez2ykova5/114876-af.jpg?rlkey=q9x3ynneic9ht84r8rzu2hokg&amp;dl=0","Click to download Image")</f>
      </c>
      <c r="B2511" s="0">
        <f>HYPERLINK("https://dl.dropboxusercontent.com/scl/fi/lun4t2j3is3zey2glwq3d/graphic-update22022-youth.jpg?rlkey=19ivbvvl4k7lltp0w0suna36r&amp;dl=0","Click to download SizeChart")</f>
      </c>
      <c r="C2511" s="0" t="inlineStr">
        <is>
          <t>Birdie Youth Tri-Blend Button Up</t>
        </is>
      </c>
      <c r="D2511" s="1">
        <v>113066</v>
      </c>
      <c r="E2511" s="0" t="inlineStr">
        <is>
          <t>IOWA BIRDIE Y GOLD:113066D-YL</t>
        </is>
      </c>
      <c r="F2511" s="2">
        <v>800113066036</v>
      </c>
      <c r="G2511" s="0" t="inlineStr">
        <is>
          <t>YOUTH</t>
        </is>
      </c>
      <c r="H2511" s="0" t="inlineStr">
        <is>
          <t>YL</t>
        </is>
      </c>
      <c r="I2511" s="0">
        <v>34.99</v>
      </c>
      <c r="J2511" s="0">
        <v>11</v>
      </c>
    </row>
    <row r="2512" spans="1:10" customHeight="0">
      <c r="A2512" s="0">
        <f>HYPERLINK("https://dl.dropboxusercontent.com/scl/fi/wvw204ck5wsyez2ykova5/114876-af.jpg?rlkey=q9x3ynneic9ht84r8rzu2hokg&amp;dl=0","Click to download Image")</f>
      </c>
      <c r="B2512" s="0">
        <f>HYPERLINK("https://dl.dropboxusercontent.com/scl/fi/lun4t2j3is3zey2glwq3d/graphic-update22022-youth.jpg?rlkey=19ivbvvl4k7lltp0w0suna36r&amp;dl=0","Click to download SizeChart")</f>
      </c>
      <c r="C2512" s="0" t="inlineStr">
        <is>
          <t>Birdie Youth Tri-Blend Button Up</t>
        </is>
      </c>
      <c r="D2512" s="1">
        <v>113066</v>
      </c>
      <c r="E2512" s="0" t="inlineStr">
        <is>
          <t>IOWA BIRDIE Y GOLD:113066E-YXL</t>
        </is>
      </c>
      <c r="F2512" s="2">
        <v>800113066043</v>
      </c>
      <c r="G2512" s="0" t="inlineStr">
        <is>
          <t>YOUTH</t>
        </is>
      </c>
      <c r="H2512" s="0" t="inlineStr">
        <is>
          <t>YXL</t>
        </is>
      </c>
      <c r="I2512" s="0">
        <v>34.99</v>
      </c>
      <c r="J2512" s="0">
        <v>14</v>
      </c>
    </row>
    <row r="2513" spans="1:10" customHeight="0">
      <c r="A2513" s="0">
        <f>HYPERLINK("https://dl.dropboxusercontent.com/scl/fi/wvw204ck5wsyez2ykova5/114876-af.jpg?rlkey=q9x3ynneic9ht84r8rzu2hokg&amp;dl=0","Click to download Image")</f>
      </c>
      <c r="B2513" s="0">
        <f>HYPERLINK("https://dl.dropboxusercontent.com/scl/fi/lun4t2j3is3zey2glwq3d/graphic-update22022-youth.jpg?rlkey=19ivbvvl4k7lltp0w0suna36r&amp;dl=0","Click to download SizeChart")</f>
      </c>
      <c r="C2513" s="0" t="inlineStr">
        <is>
          <t>Birdie Youth Tri-Blend Button Up</t>
        </is>
      </c>
      <c r="D2513" s="1">
        <v>113066</v>
      </c>
      <c r="E2513" s="0" t="inlineStr">
        <is>
          <t>IOWA BIRDIE Y GOLD 12 PACK:113066Z-12PK</t>
        </is>
      </c>
      <c r="F2513" s="2">
        <v>800113066999</v>
      </c>
      <c r="G2513" s="0" t="inlineStr">
        <is>
          <t>YOUTH</t>
        </is>
      </c>
      <c r="H2513" s="0" t="inlineStr">
        <is>
          <t>12 PACK</t>
        </is>
      </c>
      <c r="I2513" s="0">
        <v>395.88</v>
      </c>
      <c r="J2513" s="0">
        <v>0</v>
      </c>
    </row>
    <row r="2514" spans="1:10" customHeight="0">
      <c r="A2514" s="0">
        <f>HYPERLINK("https://dl.dropboxusercontent.com/scl/fi/nyycutwheqig8hl046fja/114876-af.jpg?rlkey=i8jils568onlb0zt64u3hmap2&amp;dl=0","Click to download Image")</f>
      </c>
      <c r="B2514" s="0">
        <f>HYPERLINK("https://dl.dropboxusercontent.com/scl/fi/m67acfzbzqr316pxxubz3/graphic-update22022-toddler.jpg?rlkey=j8j3gdzi8bmqti1l32pqvfpbn&amp;dl=0","Click to download SizeChart")</f>
      </c>
      <c r="C2514" s="0" t="inlineStr">
        <is>
          <t>Birdie Toddler Tri-Blend Button Up</t>
        </is>
      </c>
      <c r="D2514" s="1">
        <v>114876</v>
      </c>
      <c r="E2514" s="0" t="inlineStr">
        <is>
          <t>IOWA BIRDIE T GOLD:114876A-2T</t>
        </is>
      </c>
      <c r="F2514" s="2">
        <v>800114876085</v>
      </c>
      <c r="G2514" s="0" t="inlineStr">
        <is>
          <t>TODDLER</t>
        </is>
      </c>
      <c r="H2514" s="0" t="inlineStr">
        <is>
          <t>2T</t>
        </is>
      </c>
      <c r="I2514" s="0">
        <v>34.99</v>
      </c>
      <c r="J2514" s="0">
        <v>11</v>
      </c>
    </row>
    <row r="2515" spans="1:10" customHeight="0">
      <c r="A2515" s="0">
        <f>HYPERLINK("https://dl.dropboxusercontent.com/scl/fi/nyycutwheqig8hl046fja/114876-af.jpg?rlkey=i8jils568onlb0zt64u3hmap2&amp;dl=0","Click to download Image")</f>
      </c>
      <c r="B2515" s="0">
        <f>HYPERLINK("https://dl.dropboxusercontent.com/scl/fi/m67acfzbzqr316pxxubz3/graphic-update22022-toddler.jpg?rlkey=j8j3gdzi8bmqti1l32pqvfpbn&amp;dl=0","Click to download SizeChart")</f>
      </c>
      <c r="C2515" s="0" t="inlineStr">
        <is>
          <t>Birdie Toddler Tri-Blend Button Up</t>
        </is>
      </c>
      <c r="D2515" s="1">
        <v>114876</v>
      </c>
      <c r="E2515" s="0" t="inlineStr">
        <is>
          <t>IOWA BIRDIE T GOLD:114876B-3T</t>
        </is>
      </c>
      <c r="F2515" s="2">
        <v>800114876092</v>
      </c>
      <c r="G2515" s="0" t="inlineStr">
        <is>
          <t>TODDLER</t>
        </is>
      </c>
      <c r="H2515" s="0" t="inlineStr">
        <is>
          <t>3T</t>
        </is>
      </c>
      <c r="I2515" s="0">
        <v>34.99</v>
      </c>
      <c r="J2515" s="0">
        <v>10</v>
      </c>
    </row>
    <row r="2516" spans="1:10" customHeight="0">
      <c r="A2516" s="0">
        <f>HYPERLINK("https://dl.dropboxusercontent.com/scl/fi/nyycutwheqig8hl046fja/114876-af.jpg?rlkey=i8jils568onlb0zt64u3hmap2&amp;dl=0","Click to download Image")</f>
      </c>
      <c r="B2516" s="0">
        <f>HYPERLINK("https://dl.dropboxusercontent.com/scl/fi/m67acfzbzqr316pxxubz3/graphic-update22022-toddler.jpg?rlkey=j8j3gdzi8bmqti1l32pqvfpbn&amp;dl=0","Click to download SizeChart")</f>
      </c>
      <c r="C2516" s="0" t="inlineStr">
        <is>
          <t>Birdie Toddler Tri-Blend Button Up</t>
        </is>
      </c>
      <c r="D2516" s="1">
        <v>114876</v>
      </c>
      <c r="E2516" s="0" t="inlineStr">
        <is>
          <t>IOWA BIRDIE T GOLD:114876C-4T</t>
        </is>
      </c>
      <c r="F2516" s="2">
        <v>800114876108</v>
      </c>
      <c r="G2516" s="0" t="inlineStr">
        <is>
          <t>TODDLER</t>
        </is>
      </c>
      <c r="H2516" s="0" t="inlineStr">
        <is>
          <t>4T</t>
        </is>
      </c>
      <c r="I2516" s="0">
        <v>34.99</v>
      </c>
      <c r="J2516" s="0">
        <v>11</v>
      </c>
    </row>
    <row r="2517" spans="1:10" customHeight="0">
      <c r="A2517" s="0">
        <f>HYPERLINK("https://dl.dropboxusercontent.com/scl/fi/nyycutwheqig8hl046fja/114876-af.jpg?rlkey=i8jils568onlb0zt64u3hmap2&amp;dl=0","Click to download Image")</f>
      </c>
      <c r="B2517" s="0">
        <f>HYPERLINK("https://dl.dropboxusercontent.com/scl/fi/m67acfzbzqr316pxxubz3/graphic-update22022-toddler.jpg?rlkey=j8j3gdzi8bmqti1l32pqvfpbn&amp;dl=0","Click to download SizeChart")</f>
      </c>
      <c r="C2517" s="0" t="inlineStr">
        <is>
          <t>Birdie Toddler Tri-Blend Button Up</t>
        </is>
      </c>
      <c r="D2517" s="1">
        <v>114876</v>
      </c>
      <c r="E2517" s="0" t="inlineStr">
        <is>
          <t>IOWA BIRDIE T GOLD:114876D-5T</t>
        </is>
      </c>
      <c r="F2517" s="2">
        <v>800114876115</v>
      </c>
      <c r="G2517" s="0" t="inlineStr">
        <is>
          <t>TODDLER</t>
        </is>
      </c>
      <c r="H2517" s="0" t="inlineStr">
        <is>
          <t>5T</t>
        </is>
      </c>
      <c r="I2517" s="0">
        <v>34.99</v>
      </c>
      <c r="J2517" s="0">
        <v>11</v>
      </c>
    </row>
    <row r="2518" spans="1:10" customHeight="0">
      <c r="A2518" s="0">
        <f>HYPERLINK("https://dl.dropboxusercontent.com/scl/fi/nyycutwheqig8hl046fja/114876-af.jpg?rlkey=i8jils568onlb0zt64u3hmap2&amp;dl=0","Click to download Image")</f>
      </c>
      <c r="B2518" s="0">
        <f>HYPERLINK("https://dl.dropboxusercontent.com/scl/fi/m67acfzbzqr316pxxubz3/graphic-update22022-toddler.jpg?rlkey=j8j3gdzi8bmqti1l32pqvfpbn&amp;dl=0","Click to download SizeChart")</f>
      </c>
      <c r="C2518" s="0" t="inlineStr">
        <is>
          <t>Birdie Toddler Tri-Blend Button Up</t>
        </is>
      </c>
      <c r="D2518" s="1">
        <v>114876</v>
      </c>
      <c r="E2518" s="0" t="inlineStr">
        <is>
          <t>IOWA BIRDIE T GOLD 12 PACK:114876Z-12PK</t>
        </is>
      </c>
      <c r="F2518" s="2">
        <v>800114876993</v>
      </c>
      <c r="G2518" s="0" t="inlineStr">
        <is>
          <t>TODDLER</t>
        </is>
      </c>
      <c r="H2518" s="0" t="inlineStr">
        <is>
          <t>12 PACK</t>
        </is>
      </c>
      <c r="I2518" s="0">
        <v>395.88</v>
      </c>
      <c r="J2518" s="0">
        <v>0</v>
      </c>
    </row>
    <row r="2519" spans="1:10" customHeight="0">
      <c r="A2519" s="0">
        <f>HYPERLINK("https://dl.dropboxusercontent.com/scl/fi/orwmemyf0uz2xdkp3inwn/109714af75881.jpg?rlkey=kfo7whjub6nqo8jf3lzqjnvje&amp;dl=0","Click to download Image")</f>
      </c>
      <c r="C2519" s="0" t="inlineStr">
        <is>
          <t>Juliet Infant Cap</t>
        </is>
      </c>
      <c r="D2519" s="1">
        <v>109714</v>
      </c>
      <c r="E2519" s="0" t="inlineStr">
        <is>
          <t>IOWA JULIET:109714</t>
        </is>
      </c>
      <c r="F2519" s="2">
        <v>700109714012</v>
      </c>
      <c r="G2519" s="0" t="inlineStr">
        <is>
          <t>INFANT</t>
        </is>
      </c>
      <c r="H2519" s="0" t="inlineStr">
        <is>
          <t>INFANT</t>
        </is>
      </c>
      <c r="I2519" s="0">
        <v>20</v>
      </c>
      <c r="J2519" s="0">
        <v>31</v>
      </c>
    </row>
    <row r="2520" spans="1:10" customHeight="0">
      <c r="A2520" s="0">
        <f>HYPERLINK("https://dl.dropboxusercontent.com/scl/fi/envzr3sfmeclb4elmcfoq/deliahiowadetail81728.jpg?rlkey=usokpq3hp3sogmkj7rrz9s0tk&amp;dl=0","Click to download Image")</f>
      </c>
      <c r="C2520" s="0" t="inlineStr">
        <is>
          <t>Delilah Mini Backpack</t>
        </is>
      </c>
      <c r="D2520" s="1">
        <v>110081</v>
      </c>
      <c r="E2520" s="0" t="inlineStr">
        <is>
          <t>IOWA DELIAH:110081</t>
        </is>
      </c>
      <c r="F2520" s="2">
        <v>900110081015</v>
      </c>
      <c r="I2520" s="0">
        <v>32</v>
      </c>
      <c r="J2520" s="0">
        <v>96</v>
      </c>
    </row>
    <row r="2521" spans="1:10" customHeight="0">
      <c r="A2521" s="0">
        <f>HYPERLINK("https://dl.dropboxusercontent.com/scl/fi/4udhp9cwc7z3tp91wn1lk/113517-af.jpg?rlkey=xsxakfq59ixmssn05ji2dkmt6&amp;dl=0","Click to download Image")</f>
      </c>
      <c r="C2521" s="0" t="inlineStr">
        <is>
          <t>Gareth Youth Cap</t>
        </is>
      </c>
      <c r="D2521" s="1">
        <v>113517</v>
      </c>
      <c r="E2521" s="0" t="inlineStr">
        <is>
          <t>IOWA GARETH:113517</t>
        </is>
      </c>
      <c r="F2521" s="2">
        <v>700113517036</v>
      </c>
      <c r="G2521" s="0" t="inlineStr">
        <is>
          <t>YOUTH</t>
        </is>
      </c>
      <c r="H2521" s="0" t="inlineStr">
        <is>
          <t>YOUTH</t>
        </is>
      </c>
      <c r="I2521" s="0">
        <v>19.99</v>
      </c>
      <c r="J2521" s="0">
        <v>15</v>
      </c>
    </row>
    <row r="2522" spans="1:10" customHeight="0">
      <c r="A2522" s="0">
        <f>HYPERLINK("https://dl.dropboxusercontent.com/scl/fi/4ajh16qftoj3sqz59a691/154965-iowa-kid-zone-koozie-f.jpg?rlkey=j32z387g7bnlpm5s9z2f2p161&amp;dl=0","Click to download Image")</f>
      </c>
      <c r="C2522" s="0" t="inlineStr">
        <is>
          <t>Iowa Sublimated Can Cooler</t>
        </is>
      </c>
      <c r="D2522" s="1">
        <v>154965</v>
      </c>
      <c r="E2522" s="0" t="inlineStr">
        <is>
          <t>IAKOOZIE:154965</t>
        </is>
      </c>
      <c r="F2522" s="2">
        <v>900154965012</v>
      </c>
      <c r="I2522" s="0">
        <v>6.99</v>
      </c>
      <c r="J2522" s="0">
        <v>191</v>
      </c>
    </row>
    <row r="2523" spans="1:10" customHeight="0">
      <c r="A2523" s="0">
        <f>HYPERLINK("https://dl.dropboxusercontent.com/scl/fi/xyn7a9br3h25g07j2u1f3/ia-blk-af.jpg?rlkey=ksavh0ao01dlv6w47mvo2bq4x&amp;dl=0","Click to download Image")</f>
      </c>
      <c r="C2523" s="0" t="inlineStr">
        <is>
          <t>Monika Women's Shorts</t>
        </is>
      </c>
      <c r="D2523" s="1">
        <v>110685</v>
      </c>
      <c r="E2523" s="0" t="inlineStr">
        <is>
          <t>IOWA MONIKA BLACK:110685A-S</t>
        </is>
      </c>
      <c r="F2523" s="2">
        <v>800110685018</v>
      </c>
      <c r="G2523" s="0" t="inlineStr">
        <is>
          <t>WOMENS</t>
        </is>
      </c>
      <c r="H2523" s="0" t="inlineStr">
        <is>
          <t>S</t>
        </is>
      </c>
      <c r="I2523" s="0">
        <v>28.99</v>
      </c>
      <c r="J2523" s="0">
        <v>0</v>
      </c>
    </row>
    <row r="2524" spans="1:10" customHeight="0">
      <c r="A2524" s="0">
        <f>HYPERLINK("https://dl.dropboxusercontent.com/scl/fi/xyn7a9br3h25g07j2u1f3/ia-blk-af.jpg?rlkey=ksavh0ao01dlv6w47mvo2bq4x&amp;dl=0","Click to download Image")</f>
      </c>
      <c r="C2524" s="0" t="inlineStr">
        <is>
          <t>Monika Women's Shorts</t>
        </is>
      </c>
      <c r="D2524" s="1">
        <v>110685</v>
      </c>
      <c r="E2524" s="0" t="inlineStr">
        <is>
          <t>IOWA MONIKA BLACK:110685B-M</t>
        </is>
      </c>
      <c r="F2524" s="2">
        <v>800110685025</v>
      </c>
      <c r="G2524" s="0" t="inlineStr">
        <is>
          <t>WOMENS</t>
        </is>
      </c>
      <c r="H2524" s="0" t="inlineStr">
        <is>
          <t>M</t>
        </is>
      </c>
      <c r="I2524" s="0">
        <v>28.99</v>
      </c>
      <c r="J2524" s="0">
        <v>14</v>
      </c>
    </row>
    <row r="2525" spans="1:10" customHeight="0">
      <c r="A2525" s="0">
        <f>HYPERLINK("https://dl.dropboxusercontent.com/scl/fi/xyn7a9br3h25g07j2u1f3/ia-blk-af.jpg?rlkey=ksavh0ao01dlv6w47mvo2bq4x&amp;dl=0","Click to download Image")</f>
      </c>
      <c r="C2525" s="0" t="inlineStr">
        <is>
          <t>Monika Women's Shorts</t>
        </is>
      </c>
      <c r="D2525" s="1">
        <v>110685</v>
      </c>
      <c r="E2525" s="0" t="inlineStr">
        <is>
          <t>IOWA MONIKA BLACK:110685C-L</t>
        </is>
      </c>
      <c r="F2525" s="2">
        <v>800110685032</v>
      </c>
      <c r="G2525" s="0" t="inlineStr">
        <is>
          <t>WOMENS</t>
        </is>
      </c>
      <c r="H2525" s="0" t="inlineStr">
        <is>
          <t>L</t>
        </is>
      </c>
      <c r="I2525" s="0">
        <v>28.99</v>
      </c>
      <c r="J2525" s="0">
        <v>30</v>
      </c>
    </row>
    <row r="2526" spans="1:10" customHeight="0">
      <c r="A2526" s="0">
        <f>HYPERLINK("https://dl.dropboxusercontent.com/scl/fi/xyn7a9br3h25g07j2u1f3/ia-blk-af.jpg?rlkey=ksavh0ao01dlv6w47mvo2bq4x&amp;dl=0","Click to download Image")</f>
      </c>
      <c r="C2526" s="0" t="inlineStr">
        <is>
          <t>Monika Women's Shorts</t>
        </is>
      </c>
      <c r="D2526" s="1">
        <v>110685</v>
      </c>
      <c r="E2526" s="0" t="inlineStr">
        <is>
          <t>IOWA MONIKA BLACK:110685D-XL</t>
        </is>
      </c>
      <c r="F2526" s="2">
        <v>800110685049</v>
      </c>
      <c r="G2526" s="0" t="inlineStr">
        <is>
          <t>WOMENS</t>
        </is>
      </c>
      <c r="H2526" s="0" t="inlineStr">
        <is>
          <t>XL</t>
        </is>
      </c>
      <c r="I2526" s="0">
        <v>28.99</v>
      </c>
      <c r="J2526" s="0">
        <v>0</v>
      </c>
    </row>
    <row r="2527" spans="1:10" customHeight="0">
      <c r="A2527" s="0">
        <f>HYPERLINK("https://dl.dropboxusercontent.com/scl/fi/xyn7a9br3h25g07j2u1f3/ia-blk-af.jpg?rlkey=ksavh0ao01dlv6w47mvo2bq4x&amp;dl=0","Click to download Image")</f>
      </c>
      <c r="C2527" s="0" t="inlineStr">
        <is>
          <t>Monika Women's Shorts</t>
        </is>
      </c>
      <c r="D2527" s="1">
        <v>110685</v>
      </c>
      <c r="E2527" s="0" t="inlineStr">
        <is>
          <t>IOWA MONIKA BLACK:110685E-2XL</t>
        </is>
      </c>
      <c r="F2527" s="2">
        <v>800110685056</v>
      </c>
      <c r="G2527" s="0" t="inlineStr">
        <is>
          <t>WOMENS</t>
        </is>
      </c>
      <c r="H2527" s="0" t="inlineStr">
        <is>
          <t>2XL</t>
        </is>
      </c>
      <c r="I2527" s="0">
        <v>30.99</v>
      </c>
      <c r="J2527" s="0">
        <v>5</v>
      </c>
    </row>
    <row r="2528" spans="1:10" customHeight="0">
      <c r="A2528" s="0">
        <f>HYPERLINK("https://dl.dropboxusercontent.com/scl/fi/xyn7a9br3h25g07j2u1f3/ia-blk-af.jpg?rlkey=ksavh0ao01dlv6w47mvo2bq4x&amp;dl=0","Click to download Image")</f>
      </c>
      <c r="C2528" s="0" t="inlineStr">
        <is>
          <t>Monika Women's Shorts</t>
        </is>
      </c>
      <c r="D2528" s="1">
        <v>110685</v>
      </c>
      <c r="E2528" s="0" t="inlineStr">
        <is>
          <t>IOWA MONIKA BLACK:110685F-3XL</t>
        </is>
      </c>
      <c r="F2528" s="2">
        <v>800110685063</v>
      </c>
      <c r="G2528" s="0" t="inlineStr">
        <is>
          <t>WOMENS</t>
        </is>
      </c>
      <c r="H2528" s="0" t="inlineStr">
        <is>
          <t>3XL</t>
        </is>
      </c>
      <c r="I2528" s="0">
        <v>30.99</v>
      </c>
      <c r="J2528" s="0">
        <v>3</v>
      </c>
    </row>
    <row r="2529" spans="1:10" customHeight="0">
      <c r="A2529" s="0">
        <f>HYPERLINK("https://dl.dropboxusercontent.com/scl/fi/xyn7a9br3h25g07j2u1f3/ia-blk-af.jpg?rlkey=ksavh0ao01dlv6w47mvo2bq4x&amp;dl=0","Click to download Image")</f>
      </c>
      <c r="C2529" s="0" t="inlineStr">
        <is>
          <t>Monika Women's Shorts</t>
        </is>
      </c>
      <c r="D2529" s="1">
        <v>110685</v>
      </c>
      <c r="E2529" s="0" t="inlineStr">
        <is>
          <t>IOWA MONIKA BLACK 12 PACK:110685Z-12PK</t>
        </is>
      </c>
      <c r="F2529" s="2">
        <v>800110685995</v>
      </c>
      <c r="G2529" s="0" t="inlineStr">
        <is>
          <t>WOMENS</t>
        </is>
      </c>
      <c r="H2529" s="0" t="inlineStr">
        <is>
          <t>12 PACK</t>
        </is>
      </c>
      <c r="I2529" s="0">
        <v>323.88</v>
      </c>
      <c r="J2529" s="0">
        <v>0</v>
      </c>
    </row>
    <row r="2530" spans="1:10" customHeight="0">
      <c r="A2530" s="0">
        <f>HYPERLINK("https://dl.dropboxusercontent.com/scl/fi/hn3nfzwor3dgoqtulu19p/ia-dg-af.png?rlkey=f784wr8sxfnrvotm33v0lsv0s&amp;dl=0","Click to download Image")</f>
      </c>
      <c r="C2530" s="0" t="inlineStr">
        <is>
          <t>Monika Women's Shorts</t>
        </is>
      </c>
      <c r="D2530" s="1">
        <v>111292</v>
      </c>
      <c r="E2530" s="0" t="inlineStr">
        <is>
          <t>IOWA MONIKA DK GREY:111292A-S</t>
        </is>
      </c>
      <c r="F2530" s="2">
        <v>800111292017</v>
      </c>
      <c r="G2530" s="0" t="inlineStr">
        <is>
          <t>WOMENS</t>
        </is>
      </c>
      <c r="H2530" s="0" t="inlineStr">
        <is>
          <t>S</t>
        </is>
      </c>
      <c r="I2530" s="0">
        <v>28.99</v>
      </c>
      <c r="J2530" s="0">
        <v>11</v>
      </c>
    </row>
    <row r="2531" spans="1:10" customHeight="0">
      <c r="A2531" s="0">
        <f>HYPERLINK("https://dl.dropboxusercontent.com/scl/fi/hn3nfzwor3dgoqtulu19p/ia-dg-af.png?rlkey=f784wr8sxfnrvotm33v0lsv0s&amp;dl=0","Click to download Image")</f>
      </c>
      <c r="C2531" s="0" t="inlineStr">
        <is>
          <t>Monika Women's Shorts</t>
        </is>
      </c>
      <c r="D2531" s="1">
        <v>111292</v>
      </c>
      <c r="E2531" s="0" t="inlineStr">
        <is>
          <t>IOWA MONIKA DK GREY:111292B-M</t>
        </is>
      </c>
      <c r="F2531" s="2">
        <v>800111292024</v>
      </c>
      <c r="G2531" s="0" t="inlineStr">
        <is>
          <t>WOMENS</t>
        </is>
      </c>
      <c r="H2531" s="0" t="inlineStr">
        <is>
          <t>M</t>
        </is>
      </c>
      <c r="I2531" s="0">
        <v>28.99</v>
      </c>
      <c r="J2531" s="0">
        <v>34</v>
      </c>
    </row>
    <row r="2532" spans="1:10" customHeight="0">
      <c r="A2532" s="0">
        <f>HYPERLINK("https://dl.dropboxusercontent.com/scl/fi/hn3nfzwor3dgoqtulu19p/ia-dg-af.png?rlkey=f784wr8sxfnrvotm33v0lsv0s&amp;dl=0","Click to download Image")</f>
      </c>
      <c r="C2532" s="0" t="inlineStr">
        <is>
          <t>Monika Women's Shorts</t>
        </is>
      </c>
      <c r="D2532" s="1">
        <v>111292</v>
      </c>
      <c r="E2532" s="0" t="inlineStr">
        <is>
          <t>IOWA MONIKA DK GREY:111292C-L</t>
        </is>
      </c>
      <c r="F2532" s="2">
        <v>800111292031</v>
      </c>
      <c r="G2532" s="0" t="inlineStr">
        <is>
          <t>WOMENS</t>
        </is>
      </c>
      <c r="H2532" s="0" t="inlineStr">
        <is>
          <t>L</t>
        </is>
      </c>
      <c r="I2532" s="0">
        <v>28.99</v>
      </c>
      <c r="J2532" s="0">
        <v>33</v>
      </c>
    </row>
    <row r="2533" spans="1:10" customHeight="0">
      <c r="A2533" s="0">
        <f>HYPERLINK("https://dl.dropboxusercontent.com/scl/fi/hn3nfzwor3dgoqtulu19p/ia-dg-af.png?rlkey=f784wr8sxfnrvotm33v0lsv0s&amp;dl=0","Click to download Image")</f>
      </c>
      <c r="C2533" s="0" t="inlineStr">
        <is>
          <t>Monika Women's Shorts</t>
        </is>
      </c>
      <c r="D2533" s="1">
        <v>111292</v>
      </c>
      <c r="E2533" s="0" t="inlineStr">
        <is>
          <t>IOWA MONIKA DK GREY:111292D-XL</t>
        </is>
      </c>
      <c r="F2533" s="2">
        <v>800111292048</v>
      </c>
      <c r="G2533" s="0" t="inlineStr">
        <is>
          <t>WOMENS</t>
        </is>
      </c>
      <c r="H2533" s="0" t="inlineStr">
        <is>
          <t>XL</t>
        </is>
      </c>
      <c r="I2533" s="0">
        <v>28.99</v>
      </c>
      <c r="J2533" s="0">
        <v>9</v>
      </c>
    </row>
    <row r="2534" spans="1:10" customHeight="0">
      <c r="A2534" s="0">
        <f>HYPERLINK("https://dl.dropboxusercontent.com/scl/fi/hn3nfzwor3dgoqtulu19p/ia-dg-af.png?rlkey=f784wr8sxfnrvotm33v0lsv0s&amp;dl=0","Click to download Image")</f>
      </c>
      <c r="C2534" s="0" t="inlineStr">
        <is>
          <t>Monika Women's Shorts</t>
        </is>
      </c>
      <c r="D2534" s="1">
        <v>111292</v>
      </c>
      <c r="E2534" s="0" t="inlineStr">
        <is>
          <t>IOWA MONIKA DK GREY:111292E-2XL</t>
        </is>
      </c>
      <c r="F2534" s="2">
        <v>800111292055</v>
      </c>
      <c r="G2534" s="0" t="inlineStr">
        <is>
          <t>WOMENS</t>
        </is>
      </c>
      <c r="H2534" s="0" t="inlineStr">
        <is>
          <t>2XL</t>
        </is>
      </c>
      <c r="I2534" s="0">
        <v>30.99</v>
      </c>
      <c r="J2534" s="0">
        <v>9</v>
      </c>
    </row>
    <row r="2535" spans="1:10" customHeight="0">
      <c r="A2535" s="0">
        <f>HYPERLINK("https://dl.dropboxusercontent.com/scl/fi/hn3nfzwor3dgoqtulu19p/ia-dg-af.png?rlkey=f784wr8sxfnrvotm33v0lsv0s&amp;dl=0","Click to download Image")</f>
      </c>
      <c r="C2535" s="0" t="inlineStr">
        <is>
          <t>Monika Women's Shorts</t>
        </is>
      </c>
      <c r="D2535" s="1">
        <v>111292</v>
      </c>
      <c r="E2535" s="0" t="inlineStr">
        <is>
          <t>IOWA MONIKA DK GREY:111292F-3XL</t>
        </is>
      </c>
      <c r="F2535" s="2">
        <v>800111292062</v>
      </c>
      <c r="G2535" s="0" t="inlineStr">
        <is>
          <t>WOMENS</t>
        </is>
      </c>
      <c r="H2535" s="0" t="inlineStr">
        <is>
          <t>3XL</t>
        </is>
      </c>
      <c r="I2535" s="0">
        <v>30.99</v>
      </c>
      <c r="J2535" s="0">
        <v>6</v>
      </c>
    </row>
    <row r="2536" spans="1:10" customHeight="0">
      <c r="A2536" s="0">
        <f>HYPERLINK("https://dl.dropboxusercontent.com/scl/fi/hn3nfzwor3dgoqtulu19p/ia-dg-af.png?rlkey=f784wr8sxfnrvotm33v0lsv0s&amp;dl=0","Click to download Image")</f>
      </c>
      <c r="C2536" s="0" t="inlineStr">
        <is>
          <t>Monika Women's Shorts</t>
        </is>
      </c>
      <c r="D2536" s="1">
        <v>111292</v>
      </c>
      <c r="E2536" s="0" t="inlineStr">
        <is>
          <t>IOWA MONIKA DK GREY 12 PACK:111292Z-12PK</t>
        </is>
      </c>
      <c r="F2536" s="2">
        <v>800111292994</v>
      </c>
      <c r="G2536" s="0" t="inlineStr">
        <is>
          <t>WOMENS</t>
        </is>
      </c>
      <c r="H2536" s="0" t="inlineStr">
        <is>
          <t>12 PACK</t>
        </is>
      </c>
      <c r="I2536" s="0">
        <v>323.88</v>
      </c>
      <c r="J2536" s="0">
        <v>0</v>
      </c>
    </row>
    <row r="2537" spans="1:10" customHeight="0">
      <c r="A2537" s="0">
        <f>HYPERLINK("https://dl.dropboxusercontent.com/scl/fi/akxx9r50uysx4dftb9dxc/ia-af.jpg?rlkey=n4hzbxc5d09zioo401217e0ow&amp;dl=0","Click to download Image")</f>
      </c>
      <c r="C2537" s="0" t="inlineStr">
        <is>
          <t>Florence Youth Tank Top</t>
        </is>
      </c>
      <c r="D2537" s="1">
        <v>109671</v>
      </c>
      <c r="E2537" s="0" t="inlineStr">
        <is>
          <t>IOWA FLORENCE GOLD:109671B-YS</t>
        </is>
      </c>
      <c r="F2537" s="2">
        <v>800109671015</v>
      </c>
      <c r="G2537" s="0" t="inlineStr">
        <is>
          <t>YOUTH</t>
        </is>
      </c>
      <c r="H2537" s="0" t="inlineStr">
        <is>
          <t>YS</t>
        </is>
      </c>
      <c r="I2537" s="0">
        <v>28.99</v>
      </c>
      <c r="J2537" s="0">
        <v>67</v>
      </c>
    </row>
    <row r="2538" spans="1:10" customHeight="0">
      <c r="A2538" s="0">
        <f>HYPERLINK("https://dl.dropboxusercontent.com/scl/fi/akxx9r50uysx4dftb9dxc/ia-af.jpg?rlkey=n4hzbxc5d09zioo401217e0ow&amp;dl=0","Click to download Image")</f>
      </c>
      <c r="C2538" s="0" t="inlineStr">
        <is>
          <t>Florence Youth Tank Top</t>
        </is>
      </c>
      <c r="D2538" s="1">
        <v>109671</v>
      </c>
      <c r="E2538" s="0" t="inlineStr">
        <is>
          <t>IOWA FLORENCE GOLD:109671C-YM</t>
        </is>
      </c>
      <c r="F2538" s="2">
        <v>800109671022</v>
      </c>
      <c r="G2538" s="0" t="inlineStr">
        <is>
          <t>YOUTH</t>
        </is>
      </c>
      <c r="H2538" s="0" t="inlineStr">
        <is>
          <t>YM</t>
        </is>
      </c>
      <c r="I2538" s="0">
        <v>28.99</v>
      </c>
      <c r="J2538" s="0">
        <v>67</v>
      </c>
    </row>
    <row r="2539" spans="1:10" customHeight="0">
      <c r="A2539" s="0">
        <f>HYPERLINK("https://dl.dropboxusercontent.com/scl/fi/akxx9r50uysx4dftb9dxc/ia-af.jpg?rlkey=n4hzbxc5d09zioo401217e0ow&amp;dl=0","Click to download Image")</f>
      </c>
      <c r="C2539" s="0" t="inlineStr">
        <is>
          <t>Florence Youth Tank Top</t>
        </is>
      </c>
      <c r="D2539" s="1">
        <v>109671</v>
      </c>
      <c r="E2539" s="0" t="inlineStr">
        <is>
          <t>IOWA FLORENCE GOLD:109671D-YL</t>
        </is>
      </c>
      <c r="F2539" s="2">
        <v>800109671039</v>
      </c>
      <c r="G2539" s="0" t="inlineStr">
        <is>
          <t>YOUTH</t>
        </is>
      </c>
      <c r="H2539" s="0" t="inlineStr">
        <is>
          <t>YL</t>
        </is>
      </c>
      <c r="I2539" s="0">
        <v>28.99</v>
      </c>
      <c r="J2539" s="0">
        <v>67</v>
      </c>
    </row>
    <row r="2540" spans="1:10" customHeight="0">
      <c r="A2540" s="0">
        <f>HYPERLINK("https://dl.dropboxusercontent.com/scl/fi/akxx9r50uysx4dftb9dxc/ia-af.jpg?rlkey=n4hzbxc5d09zioo401217e0ow&amp;dl=0","Click to download Image")</f>
      </c>
      <c r="C2540" s="0" t="inlineStr">
        <is>
          <t>Florence Youth Tank Top</t>
        </is>
      </c>
      <c r="D2540" s="1">
        <v>109671</v>
      </c>
      <c r="E2540" s="0" t="inlineStr">
        <is>
          <t>IOWA FLORENCE GOLD:109671E-YXL</t>
        </is>
      </c>
      <c r="F2540" s="2">
        <v>800109671046</v>
      </c>
      <c r="G2540" s="0" t="inlineStr">
        <is>
          <t>YOUTH</t>
        </is>
      </c>
      <c r="H2540" s="0" t="inlineStr">
        <is>
          <t>YXL</t>
        </is>
      </c>
      <c r="I2540" s="0">
        <v>28.99</v>
      </c>
      <c r="J2540" s="0">
        <v>67</v>
      </c>
    </row>
    <row r="2541" spans="1:10" customHeight="0">
      <c r="A2541" s="0">
        <f>HYPERLINK("https://dl.dropboxusercontent.com/scl/fi/akxx9r50uysx4dftb9dxc/ia-af.jpg?rlkey=n4hzbxc5d09zioo401217e0ow&amp;dl=0","Click to download Image")</f>
      </c>
      <c r="C2541" s="0" t="inlineStr">
        <is>
          <t>Florence Youth Tank Top</t>
        </is>
      </c>
      <c r="D2541" s="1">
        <v>109671</v>
      </c>
      <c r="E2541" s="0" t="inlineStr">
        <is>
          <t>IOWA FLORENCE GOLD 12 PACK:109671Z-12PK</t>
        </is>
      </c>
      <c r="F2541" s="2">
        <v>800109671992</v>
      </c>
      <c r="G2541" s="0" t="inlineStr">
        <is>
          <t>YOUTH</t>
        </is>
      </c>
      <c r="H2541" s="0" t="inlineStr">
        <is>
          <t>12 PACK</t>
        </is>
      </c>
      <c r="I2541" s="0">
        <v>323.88</v>
      </c>
      <c r="J2541" s="0">
        <v>0</v>
      </c>
    </row>
    <row r="2542" spans="1:10" customHeight="0">
      <c r="A2542" s="0">
        <f>HYPERLINK("https://dl.dropboxusercontent.com/scl/fi/5tz3o8yjtl7ki5pzm7y4t/ia-blk-af.jpg?rlkey=27ethd80bro41zsppu0qtf35u&amp;dl=0","Click to download Image")</f>
      </c>
      <c r="C2542" s="0" t="inlineStr">
        <is>
          <t>Florence Youth Tank Top</t>
        </is>
      </c>
      <c r="D2542" s="1">
        <v>111542</v>
      </c>
      <c r="E2542" s="0" t="inlineStr">
        <is>
          <t>IOWA FLORENCE BLACK:111542B-YS</t>
        </is>
      </c>
      <c r="F2542" s="2">
        <v>800111542013</v>
      </c>
      <c r="G2542" s="0" t="inlineStr">
        <is>
          <t>YOUTH</t>
        </is>
      </c>
      <c r="H2542" s="0" t="inlineStr">
        <is>
          <t>YS</t>
        </is>
      </c>
      <c r="I2542" s="0">
        <v>28.99</v>
      </c>
      <c r="J2542" s="0">
        <v>69</v>
      </c>
    </row>
    <row r="2543" spans="1:10" customHeight="0">
      <c r="A2543" s="0">
        <f>HYPERLINK("https://dl.dropboxusercontent.com/scl/fi/5tz3o8yjtl7ki5pzm7y4t/ia-blk-af.jpg?rlkey=27ethd80bro41zsppu0qtf35u&amp;dl=0","Click to download Image")</f>
      </c>
      <c r="C2543" s="0" t="inlineStr">
        <is>
          <t>Florence Youth Tank Top</t>
        </is>
      </c>
      <c r="D2543" s="1">
        <v>111542</v>
      </c>
      <c r="E2543" s="0" t="inlineStr">
        <is>
          <t>IOWA FLORENCE BLACK:111542C-YM</t>
        </is>
      </c>
      <c r="F2543" s="2">
        <v>800111542020</v>
      </c>
      <c r="G2543" s="0" t="inlineStr">
        <is>
          <t>YOUTH</t>
        </is>
      </c>
      <c r="H2543" s="0" t="inlineStr">
        <is>
          <t>YM</t>
        </is>
      </c>
      <c r="I2543" s="0">
        <v>28.99</v>
      </c>
      <c r="J2543" s="0">
        <v>67</v>
      </c>
    </row>
    <row r="2544" spans="1:10" customHeight="0">
      <c r="A2544" s="0">
        <f>HYPERLINK("https://dl.dropboxusercontent.com/scl/fi/5tz3o8yjtl7ki5pzm7y4t/ia-blk-af.jpg?rlkey=27ethd80bro41zsppu0qtf35u&amp;dl=0","Click to download Image")</f>
      </c>
      <c r="C2544" s="0" t="inlineStr">
        <is>
          <t>Florence Youth Tank Top</t>
        </is>
      </c>
      <c r="D2544" s="1">
        <v>111542</v>
      </c>
      <c r="E2544" s="0" t="inlineStr">
        <is>
          <t>IOWA FLORENCE BLACK:111542D-YL</t>
        </is>
      </c>
      <c r="F2544" s="2">
        <v>800111542037</v>
      </c>
      <c r="G2544" s="0" t="inlineStr">
        <is>
          <t>YOUTH</t>
        </is>
      </c>
      <c r="H2544" s="0" t="inlineStr">
        <is>
          <t>YL</t>
        </is>
      </c>
      <c r="I2544" s="0">
        <v>28.99</v>
      </c>
      <c r="J2544" s="0">
        <v>67</v>
      </c>
    </row>
    <row r="2545" spans="1:10" customHeight="0">
      <c r="A2545" s="0">
        <f>HYPERLINK("https://dl.dropboxusercontent.com/scl/fi/5tz3o8yjtl7ki5pzm7y4t/ia-blk-af.jpg?rlkey=27ethd80bro41zsppu0qtf35u&amp;dl=0","Click to download Image")</f>
      </c>
      <c r="C2545" s="0" t="inlineStr">
        <is>
          <t>Florence Youth Tank Top</t>
        </is>
      </c>
      <c r="D2545" s="1">
        <v>111542</v>
      </c>
      <c r="E2545" s="0" t="inlineStr">
        <is>
          <t>IOWA FLORENCE BLACK:111542E-YXL</t>
        </is>
      </c>
      <c r="F2545" s="2">
        <v>800111542044</v>
      </c>
      <c r="G2545" s="0" t="inlineStr">
        <is>
          <t>YOUTH</t>
        </is>
      </c>
      <c r="H2545" s="0" t="inlineStr">
        <is>
          <t>YXL</t>
        </is>
      </c>
      <c r="I2545" s="0">
        <v>28.99</v>
      </c>
      <c r="J2545" s="0">
        <v>69</v>
      </c>
    </row>
    <row r="2546" spans="1:10" customHeight="0">
      <c r="A2546" s="0">
        <f>HYPERLINK("https://dl.dropboxusercontent.com/scl/fi/5tz3o8yjtl7ki5pzm7y4t/ia-blk-af.jpg?rlkey=27ethd80bro41zsppu0qtf35u&amp;dl=0","Click to download Image")</f>
      </c>
      <c r="C2546" s="0" t="inlineStr">
        <is>
          <t>Florence Youth Tank Top</t>
        </is>
      </c>
      <c r="D2546" s="1">
        <v>111542</v>
      </c>
      <c r="E2546" s="0" t="inlineStr">
        <is>
          <t>IOWA FLORENCE BLACK 12 PACK:111542Z-12PK</t>
        </is>
      </c>
      <c r="F2546" s="2">
        <v>800111542990</v>
      </c>
      <c r="G2546" s="0" t="inlineStr">
        <is>
          <t>YOUTH</t>
        </is>
      </c>
      <c r="H2546" s="0" t="inlineStr">
        <is>
          <t>12 PACK</t>
        </is>
      </c>
      <c r="I2546" s="0">
        <v>323.88</v>
      </c>
      <c r="J2546" s="0">
        <v>0</v>
      </c>
    </row>
    <row r="2547" spans="1:10" customHeight="0">
      <c r="A2547" s="0">
        <f>HYPERLINK("https://dl.dropboxusercontent.com/scl/fi/0vry8wmtzv899n7ekbd1g/103400f10782.jpg?rlkey=25tz95srlj7zwhbn9nl84uoh6&amp;dl=0","Click to download Image")</f>
      </c>
      <c r="B2547" s="0">
        <f>HYPERLINK("https://dl.dropboxusercontent.com/scl/fi/pqjtig7y0u554m9l06erz/10-18-size-chartsmens-relaxed.jpg?rlkey=evlwf4ovjaxqlnptavz7ep0f7&amp;dl=0","Click to download SizeChart")</f>
      </c>
      <c r="C2547" s="0" t="inlineStr">
        <is>
          <t>Luca Men's Midweight Fleece Sweatshirt</t>
        </is>
      </c>
      <c r="D2547" s="1">
        <v>103400</v>
      </c>
      <c r="E2547" s="0" t="inlineStr">
        <is>
          <t>LUCA:103400A-S</t>
        </is>
      </c>
      <c r="G2547" s="0" t="inlineStr">
        <is>
          <t>MENS</t>
        </is>
      </c>
      <c r="H2547" s="0" t="inlineStr">
        <is>
          <t>S</t>
        </is>
      </c>
      <c r="I2547" s="0">
        <v>29.99</v>
      </c>
      <c r="J2547" s="0">
        <v>10</v>
      </c>
    </row>
    <row r="2548" spans="1:10" customHeight="0">
      <c r="A2548" s="0">
        <f>HYPERLINK("https://dl.dropboxusercontent.com/scl/fi/0vry8wmtzv899n7ekbd1g/103400f10782.jpg?rlkey=25tz95srlj7zwhbn9nl84uoh6&amp;dl=0","Click to download Image")</f>
      </c>
      <c r="B2548" s="0">
        <f>HYPERLINK("https://dl.dropboxusercontent.com/scl/fi/pqjtig7y0u554m9l06erz/10-18-size-chartsmens-relaxed.jpg?rlkey=evlwf4ovjaxqlnptavz7ep0f7&amp;dl=0","Click to download SizeChart")</f>
      </c>
      <c r="C2548" s="0" t="inlineStr">
        <is>
          <t>Luca Men's Midweight Fleece Sweatshirt</t>
        </is>
      </c>
      <c r="D2548" s="1">
        <v>103400</v>
      </c>
      <c r="E2548" s="0" t="inlineStr">
        <is>
          <t>LUCA:103400B-M</t>
        </is>
      </c>
      <c r="G2548" s="0" t="inlineStr">
        <is>
          <t>MENS</t>
        </is>
      </c>
      <c r="H2548" s="0" t="inlineStr">
        <is>
          <t>M</t>
        </is>
      </c>
      <c r="I2548" s="0">
        <v>29.99</v>
      </c>
      <c r="J2548" s="0">
        <v>32</v>
      </c>
    </row>
    <row r="2549" spans="1:10" customHeight="0">
      <c r="A2549" s="0">
        <f>HYPERLINK("https://dl.dropboxusercontent.com/scl/fi/0vry8wmtzv899n7ekbd1g/103400f10782.jpg?rlkey=25tz95srlj7zwhbn9nl84uoh6&amp;dl=0","Click to download Image")</f>
      </c>
      <c r="B2549" s="0">
        <f>HYPERLINK("https://dl.dropboxusercontent.com/scl/fi/pqjtig7y0u554m9l06erz/10-18-size-chartsmens-relaxed.jpg?rlkey=evlwf4ovjaxqlnptavz7ep0f7&amp;dl=0","Click to download SizeChart")</f>
      </c>
      <c r="C2549" s="0" t="inlineStr">
        <is>
          <t>Luca Men's Midweight Fleece Sweatshirt</t>
        </is>
      </c>
      <c r="D2549" s="1">
        <v>103400</v>
      </c>
      <c r="E2549" s="0" t="inlineStr">
        <is>
          <t>LUCA:103400C-L</t>
        </is>
      </c>
      <c r="G2549" s="0" t="inlineStr">
        <is>
          <t>MENS</t>
        </is>
      </c>
      <c r="H2549" s="0" t="inlineStr">
        <is>
          <t>L</t>
        </is>
      </c>
      <c r="I2549" s="0">
        <v>29.99</v>
      </c>
      <c r="J2549" s="0">
        <v>38</v>
      </c>
    </row>
    <row r="2550" spans="1:10" customHeight="0">
      <c r="A2550" s="0">
        <f>HYPERLINK("https://dl.dropboxusercontent.com/scl/fi/0vry8wmtzv899n7ekbd1g/103400f10782.jpg?rlkey=25tz95srlj7zwhbn9nl84uoh6&amp;dl=0","Click to download Image")</f>
      </c>
      <c r="B2550" s="0">
        <f>HYPERLINK("https://dl.dropboxusercontent.com/scl/fi/pqjtig7y0u554m9l06erz/10-18-size-chartsmens-relaxed.jpg?rlkey=evlwf4ovjaxqlnptavz7ep0f7&amp;dl=0","Click to download SizeChart")</f>
      </c>
      <c r="C2550" s="0" t="inlineStr">
        <is>
          <t>Luca Men's Midweight Fleece Sweatshirt</t>
        </is>
      </c>
      <c r="D2550" s="1">
        <v>103400</v>
      </c>
      <c r="E2550" s="0" t="inlineStr">
        <is>
          <t>LUCA:103400D-XL</t>
        </is>
      </c>
      <c r="G2550" s="0" t="inlineStr">
        <is>
          <t>MENS</t>
        </is>
      </c>
      <c r="H2550" s="0" t="inlineStr">
        <is>
          <t>XL</t>
        </is>
      </c>
      <c r="I2550" s="0">
        <v>29.99</v>
      </c>
      <c r="J2550" s="0">
        <v>39</v>
      </c>
    </row>
    <row r="2551" spans="1:10" customHeight="0">
      <c r="A2551" s="0">
        <f>HYPERLINK("https://dl.dropboxusercontent.com/scl/fi/0vry8wmtzv899n7ekbd1g/103400f10782.jpg?rlkey=25tz95srlj7zwhbn9nl84uoh6&amp;dl=0","Click to download Image")</f>
      </c>
      <c r="B2551" s="0">
        <f>HYPERLINK("https://dl.dropboxusercontent.com/scl/fi/pqjtig7y0u554m9l06erz/10-18-size-chartsmens-relaxed.jpg?rlkey=evlwf4ovjaxqlnptavz7ep0f7&amp;dl=0","Click to download SizeChart")</f>
      </c>
      <c r="C2551" s="0" t="inlineStr">
        <is>
          <t>Luca Men's Midweight Fleece Sweatshirt</t>
        </is>
      </c>
      <c r="D2551" s="1">
        <v>103400</v>
      </c>
      <c r="E2551" s="0" t="inlineStr">
        <is>
          <t>LUCA:103400E-2XL</t>
        </is>
      </c>
      <c r="G2551" s="0" t="inlineStr">
        <is>
          <t>MENS</t>
        </is>
      </c>
      <c r="H2551" s="0" t="inlineStr">
        <is>
          <t>2XL</t>
        </is>
      </c>
      <c r="I2551" s="0">
        <v>31.99</v>
      </c>
      <c r="J2551" s="0">
        <v>55</v>
      </c>
    </row>
    <row r="2552" spans="1:10" customHeight="0">
      <c r="A2552" s="0">
        <f>HYPERLINK("https://dl.dropboxusercontent.com/scl/fi/0vry8wmtzv899n7ekbd1g/103400f10782.jpg?rlkey=25tz95srlj7zwhbn9nl84uoh6&amp;dl=0","Click to download Image")</f>
      </c>
      <c r="B2552" s="0">
        <f>HYPERLINK("https://dl.dropboxusercontent.com/scl/fi/pqjtig7y0u554m9l06erz/10-18-size-chartsmens-relaxed.jpg?rlkey=evlwf4ovjaxqlnptavz7ep0f7&amp;dl=0","Click to download SizeChart")</f>
      </c>
      <c r="C2552" s="0" t="inlineStr">
        <is>
          <t>Luca Men's Midweight Fleece Sweatshirt</t>
        </is>
      </c>
      <c r="D2552" s="1">
        <v>103400</v>
      </c>
      <c r="E2552" s="0" t="inlineStr">
        <is>
          <t>LUCA:103400F-3XL</t>
        </is>
      </c>
      <c r="G2552" s="0" t="inlineStr">
        <is>
          <t>MENS</t>
        </is>
      </c>
      <c r="H2552" s="0" t="inlineStr">
        <is>
          <t>3XL</t>
        </is>
      </c>
      <c r="I2552" s="0">
        <v>31.99</v>
      </c>
      <c r="J2552" s="0">
        <v>28</v>
      </c>
    </row>
    <row r="2553" spans="1:10" customHeight="0">
      <c r="A2553" s="0">
        <f>HYPERLINK("https://dl.dropboxusercontent.com/scl/fi/ti0p4n29r5761kp0xfp4f/98368af.jpg?rlkey=lo0sqp5eeb0iziklclnonefm9&amp;dl=0","Click to download Image")</f>
      </c>
      <c r="B2553" s="0">
        <f>HYPERLINK("https://dl.dropboxusercontent.com/scl/fi/0aam9c9r5ofgzjpmvf5dd/10-18-size-chartsmens-relaxed.jpg?rlkey=yknn21guz8g4qr1y1i3alxi82&amp;dl=0","Click to download SizeChart")</f>
      </c>
      <c r="C2553" s="0" t="inlineStr">
        <is>
          <t>Lucas Men's Hoodie</t>
        </is>
      </c>
      <c r="D2553" s="1">
        <v>98368</v>
      </c>
      <c r="E2553" s="0" t="inlineStr">
        <is>
          <t>LUCAS:98368A-S</t>
        </is>
      </c>
      <c r="G2553" s="0" t="inlineStr">
        <is>
          <t>MENS</t>
        </is>
      </c>
      <c r="H2553" s="0" t="inlineStr">
        <is>
          <t>S</t>
        </is>
      </c>
      <c r="I2553" s="0">
        <v>39.99</v>
      </c>
      <c r="J2553" s="0">
        <v>48</v>
      </c>
    </row>
    <row r="2554" spans="1:10" customHeight="0">
      <c r="A2554" s="0">
        <f>HYPERLINK("https://dl.dropboxusercontent.com/scl/fi/ti0p4n29r5761kp0xfp4f/98368af.jpg?rlkey=lo0sqp5eeb0iziklclnonefm9&amp;dl=0","Click to download Image")</f>
      </c>
      <c r="B2554" s="0">
        <f>HYPERLINK("https://dl.dropboxusercontent.com/scl/fi/0aam9c9r5ofgzjpmvf5dd/10-18-size-chartsmens-relaxed.jpg?rlkey=yknn21guz8g4qr1y1i3alxi82&amp;dl=0","Click to download SizeChart")</f>
      </c>
      <c r="C2554" s="0" t="inlineStr">
        <is>
          <t>Lucas Men's Hoodie</t>
        </is>
      </c>
      <c r="D2554" s="1">
        <v>98368</v>
      </c>
      <c r="E2554" s="0" t="inlineStr">
        <is>
          <t>LUCAS:98368B-M</t>
        </is>
      </c>
      <c r="G2554" s="0" t="inlineStr">
        <is>
          <t>MENS</t>
        </is>
      </c>
      <c r="H2554" s="0" t="inlineStr">
        <is>
          <t>M</t>
        </is>
      </c>
      <c r="I2554" s="0">
        <v>39.99</v>
      </c>
      <c r="J2554" s="0">
        <v>39</v>
      </c>
    </row>
    <row r="2555" spans="1:10" customHeight="0">
      <c r="A2555" s="0">
        <f>HYPERLINK("https://dl.dropboxusercontent.com/scl/fi/ti0p4n29r5761kp0xfp4f/98368af.jpg?rlkey=lo0sqp5eeb0iziklclnonefm9&amp;dl=0","Click to download Image")</f>
      </c>
      <c r="B2555" s="0">
        <f>HYPERLINK("https://dl.dropboxusercontent.com/scl/fi/0aam9c9r5ofgzjpmvf5dd/10-18-size-chartsmens-relaxed.jpg?rlkey=yknn21guz8g4qr1y1i3alxi82&amp;dl=0","Click to download SizeChart")</f>
      </c>
      <c r="C2555" s="0" t="inlineStr">
        <is>
          <t>Lucas Men's Hoodie</t>
        </is>
      </c>
      <c r="D2555" s="1">
        <v>98368</v>
      </c>
      <c r="E2555" s="0" t="inlineStr">
        <is>
          <t>LUCAS:98368C-L</t>
        </is>
      </c>
      <c r="G2555" s="0" t="inlineStr">
        <is>
          <t>MENS</t>
        </is>
      </c>
      <c r="H2555" s="0" t="inlineStr">
        <is>
          <t>L</t>
        </is>
      </c>
      <c r="I2555" s="0">
        <v>39.99</v>
      </c>
      <c r="J2555" s="0">
        <v>0</v>
      </c>
    </row>
    <row r="2556" spans="1:10" customHeight="0">
      <c r="A2556" s="0">
        <f>HYPERLINK("https://dl.dropboxusercontent.com/scl/fi/ti0p4n29r5761kp0xfp4f/98368af.jpg?rlkey=lo0sqp5eeb0iziklclnonefm9&amp;dl=0","Click to download Image")</f>
      </c>
      <c r="B2556" s="0">
        <f>HYPERLINK("https://dl.dropboxusercontent.com/scl/fi/0aam9c9r5ofgzjpmvf5dd/10-18-size-chartsmens-relaxed.jpg?rlkey=yknn21guz8g4qr1y1i3alxi82&amp;dl=0","Click to download SizeChart")</f>
      </c>
      <c r="C2556" s="0" t="inlineStr">
        <is>
          <t>Lucas Men's Hoodie</t>
        </is>
      </c>
      <c r="D2556" s="1">
        <v>98368</v>
      </c>
      <c r="E2556" s="0" t="inlineStr">
        <is>
          <t>LUCAS:98368D-XL</t>
        </is>
      </c>
      <c r="G2556" s="0" t="inlineStr">
        <is>
          <t>MENS</t>
        </is>
      </c>
      <c r="H2556" s="0" t="inlineStr">
        <is>
          <t>XL</t>
        </is>
      </c>
      <c r="I2556" s="0">
        <v>39.99</v>
      </c>
      <c r="J2556" s="0">
        <v>0</v>
      </c>
    </row>
    <row r="2557" spans="1:10" customHeight="0">
      <c r="A2557" s="0">
        <f>HYPERLINK("https://dl.dropboxusercontent.com/scl/fi/ti0p4n29r5761kp0xfp4f/98368af.jpg?rlkey=lo0sqp5eeb0iziklclnonefm9&amp;dl=0","Click to download Image")</f>
      </c>
      <c r="B2557" s="0">
        <f>HYPERLINK("https://dl.dropboxusercontent.com/scl/fi/0aam9c9r5ofgzjpmvf5dd/10-18-size-chartsmens-relaxed.jpg?rlkey=yknn21guz8g4qr1y1i3alxi82&amp;dl=0","Click to download SizeChart")</f>
      </c>
      <c r="C2557" s="0" t="inlineStr">
        <is>
          <t>Lucas Men's Hoodie</t>
        </is>
      </c>
      <c r="D2557" s="1">
        <v>98368</v>
      </c>
      <c r="E2557" s="0" t="inlineStr">
        <is>
          <t>LUCAS:98368E-2XL</t>
        </is>
      </c>
      <c r="G2557" s="0" t="inlineStr">
        <is>
          <t>MENS</t>
        </is>
      </c>
      <c r="H2557" s="0" t="inlineStr">
        <is>
          <t>2XL</t>
        </is>
      </c>
      <c r="I2557" s="0">
        <v>41.99</v>
      </c>
      <c r="J2557" s="0">
        <v>3</v>
      </c>
    </row>
    <row r="2558" spans="1:10" customHeight="0">
      <c r="A2558" s="0">
        <f>HYPERLINK("https://dl.dropboxusercontent.com/scl/fi/ti0p4n29r5761kp0xfp4f/98368af.jpg?rlkey=lo0sqp5eeb0iziklclnonefm9&amp;dl=0","Click to download Image")</f>
      </c>
      <c r="B2558" s="0">
        <f>HYPERLINK("https://dl.dropboxusercontent.com/scl/fi/0aam9c9r5ofgzjpmvf5dd/10-18-size-chartsmens-relaxed.jpg?rlkey=yknn21guz8g4qr1y1i3alxi82&amp;dl=0","Click to download SizeChart")</f>
      </c>
      <c r="C2558" s="0" t="inlineStr">
        <is>
          <t>Lucas Men's Hoodie</t>
        </is>
      </c>
      <c r="D2558" s="1">
        <v>98368</v>
      </c>
      <c r="E2558" s="0" t="inlineStr">
        <is>
          <t>LUCAS:98368F-3XL</t>
        </is>
      </c>
      <c r="G2558" s="0" t="inlineStr">
        <is>
          <t>MENS</t>
        </is>
      </c>
      <c r="H2558" s="0" t="inlineStr">
        <is>
          <t>3XL</t>
        </is>
      </c>
      <c r="I2558" s="0">
        <v>41.99</v>
      </c>
      <c r="J2558" s="0">
        <v>6</v>
      </c>
    </row>
    <row r="2559" spans="1:10" customHeight="0">
      <c r="A2559" s="0">
        <f>HYPERLINK("https://dl.dropboxusercontent.com/scl/fi/zhguve9fwav19x36srpsg/95869af.jpg?rlkey=dul8rpafxmmglo4t9abimvflh&amp;dl=0","Click to download Image")</f>
      </c>
      <c r="B2559" s="0">
        <f>HYPERLINK("https://dl.dropboxusercontent.com/scl/fi/syugdafozueuhlt9yru18/neon-size-chartsmagen.jpg?rlkey=ithyi6vir7kwdwk477k85afdx&amp;dl=0","Click to download SizeChart")</f>
      </c>
      <c r="C2559" s="0" t="inlineStr">
        <is>
          <t>Magen Women's Tank</t>
        </is>
      </c>
      <c r="D2559" s="1">
        <v>95869</v>
      </c>
      <c r="E2559" s="0" t="inlineStr">
        <is>
          <t>MAGEN:95869A-S</t>
        </is>
      </c>
      <c r="G2559" s="0" t="inlineStr">
        <is>
          <t>WOMENS</t>
        </is>
      </c>
      <c r="H2559" s="0" t="inlineStr">
        <is>
          <t>S</t>
        </is>
      </c>
      <c r="I2559" s="0">
        <v>12.99</v>
      </c>
      <c r="J2559" s="0">
        <v>45</v>
      </c>
    </row>
    <row r="2560" spans="1:10" customHeight="0">
      <c r="A2560" s="0">
        <f>HYPERLINK("https://dl.dropboxusercontent.com/scl/fi/zhguve9fwav19x36srpsg/95869af.jpg?rlkey=dul8rpafxmmglo4t9abimvflh&amp;dl=0","Click to download Image")</f>
      </c>
      <c r="B2560" s="0">
        <f>HYPERLINK("https://dl.dropboxusercontent.com/scl/fi/syugdafozueuhlt9yru18/neon-size-chartsmagen.jpg?rlkey=ithyi6vir7kwdwk477k85afdx&amp;dl=0","Click to download SizeChart")</f>
      </c>
      <c r="C2560" s="0" t="inlineStr">
        <is>
          <t>Magen Women's Tank</t>
        </is>
      </c>
      <c r="D2560" s="1">
        <v>95869</v>
      </c>
      <c r="E2560" s="0" t="inlineStr">
        <is>
          <t>MAGEN:95869B-M</t>
        </is>
      </c>
      <c r="G2560" s="0" t="inlineStr">
        <is>
          <t>WOMENS</t>
        </is>
      </c>
      <c r="H2560" s="0" t="inlineStr">
        <is>
          <t>M</t>
        </is>
      </c>
      <c r="I2560" s="0">
        <v>12.99</v>
      </c>
      <c r="J2560" s="0">
        <v>55</v>
      </c>
    </row>
    <row r="2561" spans="1:10" customHeight="0">
      <c r="A2561" s="0">
        <f>HYPERLINK("https://dl.dropboxusercontent.com/scl/fi/zhguve9fwav19x36srpsg/95869af.jpg?rlkey=dul8rpafxmmglo4t9abimvflh&amp;dl=0","Click to download Image")</f>
      </c>
      <c r="B2561" s="0">
        <f>HYPERLINK("https://dl.dropboxusercontent.com/scl/fi/syugdafozueuhlt9yru18/neon-size-chartsmagen.jpg?rlkey=ithyi6vir7kwdwk477k85afdx&amp;dl=0","Click to download SizeChart")</f>
      </c>
      <c r="C2561" s="0" t="inlineStr">
        <is>
          <t>Magen Women's Tank</t>
        </is>
      </c>
      <c r="D2561" s="1">
        <v>95869</v>
      </c>
      <c r="E2561" s="0" t="inlineStr">
        <is>
          <t>MAGEN:95869C-L</t>
        </is>
      </c>
      <c r="G2561" s="0" t="inlineStr">
        <is>
          <t>WOMENS</t>
        </is>
      </c>
      <c r="H2561" s="0" t="inlineStr">
        <is>
          <t>L</t>
        </is>
      </c>
      <c r="I2561" s="0">
        <v>12.99</v>
      </c>
      <c r="J2561" s="0">
        <v>117</v>
      </c>
    </row>
    <row r="2562" spans="1:10" customHeight="0">
      <c r="A2562" s="0">
        <f>HYPERLINK("https://dl.dropboxusercontent.com/scl/fi/zhguve9fwav19x36srpsg/95869af.jpg?rlkey=dul8rpafxmmglo4t9abimvflh&amp;dl=0","Click to download Image")</f>
      </c>
      <c r="B2562" s="0">
        <f>HYPERLINK("https://dl.dropboxusercontent.com/scl/fi/syugdafozueuhlt9yru18/neon-size-chartsmagen.jpg?rlkey=ithyi6vir7kwdwk477k85afdx&amp;dl=0","Click to download SizeChart")</f>
      </c>
      <c r="C2562" s="0" t="inlineStr">
        <is>
          <t>Magen Women's Tank</t>
        </is>
      </c>
      <c r="D2562" s="1">
        <v>95869</v>
      </c>
      <c r="E2562" s="0" t="inlineStr">
        <is>
          <t>MAGEN:95869D-XL</t>
        </is>
      </c>
      <c r="G2562" s="0" t="inlineStr">
        <is>
          <t>WOMENS</t>
        </is>
      </c>
      <c r="H2562" s="0" t="inlineStr">
        <is>
          <t>XL</t>
        </is>
      </c>
      <c r="I2562" s="0">
        <v>12.99</v>
      </c>
      <c r="J2562" s="0">
        <v>120</v>
      </c>
    </row>
    <row r="2563" spans="1:10" customHeight="0">
      <c r="A2563" s="0">
        <f>HYPERLINK("https://dl.dropboxusercontent.com/scl/fi/zhguve9fwav19x36srpsg/95869af.jpg?rlkey=dul8rpafxmmglo4t9abimvflh&amp;dl=0","Click to download Image")</f>
      </c>
      <c r="B2563" s="0">
        <f>HYPERLINK("https://dl.dropboxusercontent.com/scl/fi/syugdafozueuhlt9yru18/neon-size-chartsmagen.jpg?rlkey=ithyi6vir7kwdwk477k85afdx&amp;dl=0","Click to download SizeChart")</f>
      </c>
      <c r="C2563" s="0" t="inlineStr">
        <is>
          <t>Magen Women's Tank</t>
        </is>
      </c>
      <c r="D2563" s="1">
        <v>95869</v>
      </c>
      <c r="E2563" s="0" t="inlineStr">
        <is>
          <t>MAGEN:95869E-2X</t>
        </is>
      </c>
      <c r="G2563" s="0" t="inlineStr">
        <is>
          <t>WOMENS</t>
        </is>
      </c>
      <c r="H2563" s="0" t="inlineStr">
        <is>
          <t>2XL</t>
        </is>
      </c>
      <c r="I2563" s="0">
        <v>14.99</v>
      </c>
      <c r="J2563" s="0">
        <v>44</v>
      </c>
    </row>
    <row r="2564" spans="1:10" customHeight="0">
      <c r="A2564" s="0">
        <f>HYPERLINK("https://dl.dropboxusercontent.com/scl/fi/zeehomu260y0t3llxmai2/104117-af.jpg?rlkey=60g2ju8bxc4sryd1chaq7w7a1&amp;dl=0","Click to download Image")</f>
      </c>
      <c r="C2564" s="0" t="inlineStr">
        <is>
          <t>Andrea Women's Laser Cut Cap</t>
        </is>
      </c>
      <c r="D2564" s="1">
        <v>104117</v>
      </c>
      <c r="E2564" s="0" t="inlineStr">
        <is>
          <t>ANDREA:104117</t>
        </is>
      </c>
      <c r="G2564" s="0" t="inlineStr">
        <is>
          <t>WOMENS</t>
        </is>
      </c>
      <c r="H2564" s="0" t="inlineStr">
        <is>
          <t>WOMENS</t>
        </is>
      </c>
      <c r="I2564" s="0">
        <v>21.99</v>
      </c>
      <c r="J2564" s="0">
        <v>60</v>
      </c>
    </row>
    <row r="2565" spans="1:10" customHeight="0">
      <c r="A2565" s="0">
        <f>HYPERLINK("https://dl.dropboxusercontent.com/scl/fi/qzpanjhjsazo9s9zrrqz8/95874af.jpg?rlkey=3owrp1wbomm3v8ab0umw1jniw&amp;dl=0","Click to download Image")</f>
      </c>
      <c r="B2565" s="0">
        <f>HYPERLINK("https://dl.dropboxusercontent.com/scl/fi/8e73aq8mdxbcar17vra1h/neon-size-chartsalexis-m.jpg?rlkey=3e41c9beaw3zw0jbjsvbiwtxn&amp;dl=0","Click to download SizeChart")</f>
      </c>
      <c r="C2565" s="0" t="inlineStr">
        <is>
          <t>Alexis Men's T-Shirt</t>
        </is>
      </c>
      <c r="D2565" s="1">
        <v>95874</v>
      </c>
      <c r="E2565" s="0" t="inlineStr">
        <is>
          <t>ALEXIS:95874A-S</t>
        </is>
      </c>
      <c r="G2565" s="0" t="inlineStr">
        <is>
          <t>MENS</t>
        </is>
      </c>
      <c r="H2565" s="0" t="inlineStr">
        <is>
          <t>S</t>
        </is>
      </c>
      <c r="I2565" s="0">
        <v>13.99</v>
      </c>
      <c r="J2565" s="0">
        <v>8</v>
      </c>
    </row>
    <row r="2566" spans="1:10" customHeight="0">
      <c r="A2566" s="0">
        <f>HYPERLINK("https://dl.dropboxusercontent.com/scl/fi/qzpanjhjsazo9s9zrrqz8/95874af.jpg?rlkey=3owrp1wbomm3v8ab0umw1jniw&amp;dl=0","Click to download Image")</f>
      </c>
      <c r="B2566" s="0">
        <f>HYPERLINK("https://dl.dropboxusercontent.com/scl/fi/8e73aq8mdxbcar17vra1h/neon-size-chartsalexis-m.jpg?rlkey=3e41c9beaw3zw0jbjsvbiwtxn&amp;dl=0","Click to download SizeChart")</f>
      </c>
      <c r="C2566" s="0" t="inlineStr">
        <is>
          <t>Alexis Men's T-Shirt</t>
        </is>
      </c>
      <c r="D2566" s="1">
        <v>95874</v>
      </c>
      <c r="E2566" s="0" t="inlineStr">
        <is>
          <t>ALEXIS:95874B-M</t>
        </is>
      </c>
      <c r="G2566" s="0" t="inlineStr">
        <is>
          <t>MENS</t>
        </is>
      </c>
      <c r="H2566" s="0" t="inlineStr">
        <is>
          <t>M</t>
        </is>
      </c>
      <c r="I2566" s="0">
        <v>13.99</v>
      </c>
      <c r="J2566" s="0">
        <v>45</v>
      </c>
    </row>
    <row r="2567" spans="1:10" customHeight="0">
      <c r="A2567" s="0">
        <f>HYPERLINK("https://dl.dropboxusercontent.com/scl/fi/qzpanjhjsazo9s9zrrqz8/95874af.jpg?rlkey=3owrp1wbomm3v8ab0umw1jniw&amp;dl=0","Click to download Image")</f>
      </c>
      <c r="B2567" s="0">
        <f>HYPERLINK("https://dl.dropboxusercontent.com/scl/fi/8e73aq8mdxbcar17vra1h/neon-size-chartsalexis-m.jpg?rlkey=3e41c9beaw3zw0jbjsvbiwtxn&amp;dl=0","Click to download SizeChart")</f>
      </c>
      <c r="C2567" s="0" t="inlineStr">
        <is>
          <t>Alexis Men's T-Shirt</t>
        </is>
      </c>
      <c r="D2567" s="1">
        <v>95874</v>
      </c>
      <c r="E2567" s="0" t="inlineStr">
        <is>
          <t>ALEXIS:95874C-L</t>
        </is>
      </c>
      <c r="G2567" s="0" t="inlineStr">
        <is>
          <t>MENS</t>
        </is>
      </c>
      <c r="H2567" s="0" t="inlineStr">
        <is>
          <t>L</t>
        </is>
      </c>
      <c r="I2567" s="0">
        <v>13.99</v>
      </c>
      <c r="J2567" s="0">
        <v>90</v>
      </c>
    </row>
    <row r="2568" spans="1:10" customHeight="0">
      <c r="A2568" s="0">
        <f>HYPERLINK("https://dl.dropboxusercontent.com/scl/fi/qzpanjhjsazo9s9zrrqz8/95874af.jpg?rlkey=3owrp1wbomm3v8ab0umw1jniw&amp;dl=0","Click to download Image")</f>
      </c>
      <c r="B2568" s="0">
        <f>HYPERLINK("https://dl.dropboxusercontent.com/scl/fi/8e73aq8mdxbcar17vra1h/neon-size-chartsalexis-m.jpg?rlkey=3e41c9beaw3zw0jbjsvbiwtxn&amp;dl=0","Click to download SizeChart")</f>
      </c>
      <c r="C2568" s="0" t="inlineStr">
        <is>
          <t>Alexis Men's T-Shirt</t>
        </is>
      </c>
      <c r="D2568" s="1">
        <v>95874</v>
      </c>
      <c r="E2568" s="0" t="inlineStr">
        <is>
          <t>ALEXIS:95874D-XL</t>
        </is>
      </c>
      <c r="G2568" s="0" t="inlineStr">
        <is>
          <t>MENS</t>
        </is>
      </c>
      <c r="H2568" s="0" t="inlineStr">
        <is>
          <t>XL</t>
        </is>
      </c>
      <c r="I2568" s="0">
        <v>13.99</v>
      </c>
      <c r="J2568" s="0">
        <v>92</v>
      </c>
    </row>
    <row r="2569" spans="1:10" customHeight="0">
      <c r="A2569" s="0">
        <f>HYPERLINK("https://dl.dropboxusercontent.com/scl/fi/qzpanjhjsazo9s9zrrqz8/95874af.jpg?rlkey=3owrp1wbomm3v8ab0umw1jniw&amp;dl=0","Click to download Image")</f>
      </c>
      <c r="B2569" s="0">
        <f>HYPERLINK("https://dl.dropboxusercontent.com/scl/fi/8e73aq8mdxbcar17vra1h/neon-size-chartsalexis-m.jpg?rlkey=3e41c9beaw3zw0jbjsvbiwtxn&amp;dl=0","Click to download SizeChart")</f>
      </c>
      <c r="C2569" s="0" t="inlineStr">
        <is>
          <t>Alexis Men's T-Shirt</t>
        </is>
      </c>
      <c r="D2569" s="1">
        <v>95874</v>
      </c>
      <c r="E2569" s="0" t="inlineStr">
        <is>
          <t>ALEXIS:95874E-2X</t>
        </is>
      </c>
      <c r="G2569" s="0" t="inlineStr">
        <is>
          <t>MENS</t>
        </is>
      </c>
      <c r="H2569" s="0" t="inlineStr">
        <is>
          <t>2XL</t>
        </is>
      </c>
      <c r="I2569" s="0">
        <v>13.99</v>
      </c>
      <c r="J2569" s="0">
        <v>39</v>
      </c>
    </row>
    <row r="2570" spans="1:10" customHeight="0">
      <c r="A2570" s="0">
        <f>HYPERLINK("https://dl.dropboxusercontent.com/scl/fi/qzpanjhjsazo9s9zrrqz8/95874af.jpg?rlkey=3owrp1wbomm3v8ab0umw1jniw&amp;dl=0","Click to download Image")</f>
      </c>
      <c r="B2570" s="0">
        <f>HYPERLINK("https://dl.dropboxusercontent.com/scl/fi/8e73aq8mdxbcar17vra1h/neon-size-chartsalexis-m.jpg?rlkey=3e41c9beaw3zw0jbjsvbiwtxn&amp;dl=0","Click to download SizeChart")</f>
      </c>
      <c r="C2570" s="0" t="inlineStr">
        <is>
          <t>Alexis Men's T-Shirt</t>
        </is>
      </c>
      <c r="D2570" s="1">
        <v>95874</v>
      </c>
      <c r="E2570" s="0" t="inlineStr">
        <is>
          <t>ALEXIS:95874F-3X</t>
        </is>
      </c>
      <c r="G2570" s="0" t="inlineStr">
        <is>
          <t>MENS</t>
        </is>
      </c>
      <c r="H2570" s="0" t="inlineStr">
        <is>
          <t>3XL</t>
        </is>
      </c>
      <c r="I2570" s="0">
        <v>13.99</v>
      </c>
      <c r="J2570" s="0">
        <v>0</v>
      </c>
    </row>
    <row r="2571" spans="1:10" customHeight="0">
      <c r="A2571" s="0">
        <f>HYPERLINK("https://dl.dropboxusercontent.com/scl/fi/atkcu59v34p9htcp8hcng/95876af.jpg?rlkey=96pqilkvlstgirj6f6qsm8l3m&amp;dl=0","Click to download Image")</f>
      </c>
      <c r="B2571" s="0">
        <f>HYPERLINK("https://dl.dropboxusercontent.com/scl/fi/8e73aq8mdxbcar17vra1h/neon-size-chartsalexis-m.jpg?rlkey=3e41c9beaw3zw0jbjsvbiwtxn&amp;dl=0","Click to download SizeChart")</f>
      </c>
      <c r="C2571" s="0" t="inlineStr">
        <is>
          <t>Alexis Men's T-Shirt</t>
        </is>
      </c>
      <c r="D2571" s="1">
        <v>95876</v>
      </c>
      <c r="E2571" s="0" t="inlineStr">
        <is>
          <t>ALEXIS:95876A-S</t>
        </is>
      </c>
      <c r="G2571" s="0" t="inlineStr">
        <is>
          <t>MENS</t>
        </is>
      </c>
      <c r="H2571" s="0" t="inlineStr">
        <is>
          <t>S</t>
        </is>
      </c>
      <c r="I2571" s="0">
        <v>13.99</v>
      </c>
      <c r="J2571" s="0">
        <v>0</v>
      </c>
    </row>
    <row r="2572" spans="1:10" customHeight="0">
      <c r="A2572" s="0">
        <f>HYPERLINK("https://dl.dropboxusercontent.com/scl/fi/atkcu59v34p9htcp8hcng/95876af.jpg?rlkey=96pqilkvlstgirj6f6qsm8l3m&amp;dl=0","Click to download Image")</f>
      </c>
      <c r="B2572" s="0">
        <f>HYPERLINK("https://dl.dropboxusercontent.com/scl/fi/8e73aq8mdxbcar17vra1h/neon-size-chartsalexis-m.jpg?rlkey=3e41c9beaw3zw0jbjsvbiwtxn&amp;dl=0","Click to download SizeChart")</f>
      </c>
      <c r="C2572" s="0" t="inlineStr">
        <is>
          <t>Alexis Men's T-Shirt</t>
        </is>
      </c>
      <c r="D2572" s="1">
        <v>95876</v>
      </c>
      <c r="E2572" s="0" t="inlineStr">
        <is>
          <t>ALEXIS:95876B-M</t>
        </is>
      </c>
      <c r="G2572" s="0" t="inlineStr">
        <is>
          <t>MENS</t>
        </is>
      </c>
      <c r="H2572" s="0" t="inlineStr">
        <is>
          <t>M</t>
        </is>
      </c>
      <c r="I2572" s="0">
        <v>13.99</v>
      </c>
      <c r="J2572" s="0">
        <v>5</v>
      </c>
    </row>
    <row r="2573" spans="1:10" customHeight="0">
      <c r="A2573" s="0">
        <f>HYPERLINK("https://dl.dropboxusercontent.com/scl/fi/atkcu59v34p9htcp8hcng/95876af.jpg?rlkey=96pqilkvlstgirj6f6qsm8l3m&amp;dl=0","Click to download Image")</f>
      </c>
      <c r="B2573" s="0">
        <f>HYPERLINK("https://dl.dropboxusercontent.com/scl/fi/8e73aq8mdxbcar17vra1h/neon-size-chartsalexis-m.jpg?rlkey=3e41c9beaw3zw0jbjsvbiwtxn&amp;dl=0","Click to download SizeChart")</f>
      </c>
      <c r="C2573" s="0" t="inlineStr">
        <is>
          <t>Alexis Men's T-Shirt</t>
        </is>
      </c>
      <c r="D2573" s="1">
        <v>95876</v>
      </c>
      <c r="E2573" s="0" t="inlineStr">
        <is>
          <t>ALEXIS:95876C-L</t>
        </is>
      </c>
      <c r="G2573" s="0" t="inlineStr">
        <is>
          <t>MENS</t>
        </is>
      </c>
      <c r="H2573" s="0" t="inlineStr">
        <is>
          <t>L</t>
        </is>
      </c>
      <c r="I2573" s="0">
        <v>13.99</v>
      </c>
      <c r="J2573" s="0">
        <v>12</v>
      </c>
    </row>
    <row r="2574" spans="1:10" customHeight="0">
      <c r="A2574" s="0">
        <f>HYPERLINK("https://dl.dropboxusercontent.com/scl/fi/atkcu59v34p9htcp8hcng/95876af.jpg?rlkey=96pqilkvlstgirj6f6qsm8l3m&amp;dl=0","Click to download Image")</f>
      </c>
      <c r="B2574" s="0">
        <f>HYPERLINK("https://dl.dropboxusercontent.com/scl/fi/8e73aq8mdxbcar17vra1h/neon-size-chartsalexis-m.jpg?rlkey=3e41c9beaw3zw0jbjsvbiwtxn&amp;dl=0","Click to download SizeChart")</f>
      </c>
      <c r="C2574" s="0" t="inlineStr">
        <is>
          <t>Alexis Men's T-Shirt</t>
        </is>
      </c>
      <c r="D2574" s="1">
        <v>95876</v>
      </c>
      <c r="E2574" s="0" t="inlineStr">
        <is>
          <t>ALEXIS:95876D-XL</t>
        </is>
      </c>
      <c r="G2574" s="0" t="inlineStr">
        <is>
          <t>MENS</t>
        </is>
      </c>
      <c r="H2574" s="0" t="inlineStr">
        <is>
          <t>XL</t>
        </is>
      </c>
      <c r="I2574" s="0">
        <v>13.99</v>
      </c>
      <c r="J2574" s="0">
        <v>3</v>
      </c>
    </row>
    <row r="2575" spans="1:10" customHeight="0">
      <c r="A2575" s="0">
        <f>HYPERLINK("https://dl.dropboxusercontent.com/scl/fi/atkcu59v34p9htcp8hcng/95876af.jpg?rlkey=96pqilkvlstgirj6f6qsm8l3m&amp;dl=0","Click to download Image")</f>
      </c>
      <c r="B2575" s="0">
        <f>HYPERLINK("https://dl.dropboxusercontent.com/scl/fi/8e73aq8mdxbcar17vra1h/neon-size-chartsalexis-m.jpg?rlkey=3e41c9beaw3zw0jbjsvbiwtxn&amp;dl=0","Click to download SizeChart")</f>
      </c>
      <c r="C2575" s="0" t="inlineStr">
        <is>
          <t>Alexis Men's T-Shirt</t>
        </is>
      </c>
      <c r="D2575" s="1">
        <v>95876</v>
      </c>
      <c r="E2575" s="0" t="inlineStr">
        <is>
          <t>ALEXIS:95876E-2X</t>
        </is>
      </c>
      <c r="G2575" s="0" t="inlineStr">
        <is>
          <t>MENS</t>
        </is>
      </c>
      <c r="H2575" s="0" t="inlineStr">
        <is>
          <t>2XL</t>
        </is>
      </c>
      <c r="I2575" s="0">
        <v>13.99</v>
      </c>
      <c r="J2575" s="0">
        <v>7</v>
      </c>
    </row>
    <row r="2576" spans="1:10" customHeight="0">
      <c r="A2576" s="0">
        <f>HYPERLINK("https://dl.dropboxusercontent.com/scl/fi/atkcu59v34p9htcp8hcng/95876af.jpg?rlkey=96pqilkvlstgirj6f6qsm8l3m&amp;dl=0","Click to download Image")</f>
      </c>
      <c r="B2576" s="0">
        <f>HYPERLINK("https://dl.dropboxusercontent.com/scl/fi/8e73aq8mdxbcar17vra1h/neon-size-chartsalexis-m.jpg?rlkey=3e41c9beaw3zw0jbjsvbiwtxn&amp;dl=0","Click to download SizeChart")</f>
      </c>
      <c r="C2576" s="0" t="inlineStr">
        <is>
          <t>Alexis Men's T-Shirt</t>
        </is>
      </c>
      <c r="D2576" s="1">
        <v>95876</v>
      </c>
      <c r="E2576" s="0" t="inlineStr">
        <is>
          <t>ALEXIS:95876F-3X</t>
        </is>
      </c>
      <c r="G2576" s="0" t="inlineStr">
        <is>
          <t>MENS</t>
        </is>
      </c>
      <c r="H2576" s="0" t="inlineStr">
        <is>
          <t>3XL</t>
        </is>
      </c>
      <c r="I2576" s="0">
        <v>13.99</v>
      </c>
      <c r="J2576" s="0">
        <v>0</v>
      </c>
    </row>
    <row r="2577" spans="1:10" customHeight="0">
      <c r="A2577" s="0">
        <f>HYPERLINK("https://dl.dropboxusercontent.com/scl/fi/glorof12yqrz57fnfbdnd/soto-02.jpg?rlkey=j2pzq1xwrnp7xd9v0f8pg4k70&amp;dl=0","Click to download Image")</f>
      </c>
      <c r="B2577" s="0">
        <f>HYPERLINK("https://dl.dropboxusercontent.com/scl/fi/leufaxborg5deprarw503/mens-t-shirt-size-chartssoto-triblend.jpg?rlkey=14ijj9rpzb1zfnlbas6kfbzyj&amp;dl=0","Click to download SizeChart")</f>
      </c>
      <c r="C2577" s="0" t="inlineStr">
        <is>
          <t>Soto Men's 3/4 Sleeve Shirt</t>
        </is>
      </c>
      <c r="D2577" s="1">
        <v>103685</v>
      </c>
      <c r="E2577" s="0" t="inlineStr">
        <is>
          <t>SOTO:103685A-S</t>
        </is>
      </c>
      <c r="G2577" s="0" t="inlineStr">
        <is>
          <t>MENS</t>
        </is>
      </c>
      <c r="H2577" s="0" t="inlineStr">
        <is>
          <t>S</t>
        </is>
      </c>
      <c r="I2577" s="0">
        <v>29.99</v>
      </c>
      <c r="J2577" s="0">
        <v>22</v>
      </c>
    </row>
    <row r="2578" spans="1:10" customHeight="0">
      <c r="A2578" s="0">
        <f>HYPERLINK("https://dl.dropboxusercontent.com/scl/fi/glorof12yqrz57fnfbdnd/soto-02.jpg?rlkey=j2pzq1xwrnp7xd9v0f8pg4k70&amp;dl=0","Click to download Image")</f>
      </c>
      <c r="B2578" s="0">
        <f>HYPERLINK("https://dl.dropboxusercontent.com/scl/fi/leufaxborg5deprarw503/mens-t-shirt-size-chartssoto-triblend.jpg?rlkey=14ijj9rpzb1zfnlbas6kfbzyj&amp;dl=0","Click to download SizeChart")</f>
      </c>
      <c r="C2578" s="0" t="inlineStr">
        <is>
          <t>Soto Men's 3/4 Sleeve Shirt</t>
        </is>
      </c>
      <c r="D2578" s="1">
        <v>103685</v>
      </c>
      <c r="E2578" s="0" t="inlineStr">
        <is>
          <t>SOTO:103685B-M</t>
        </is>
      </c>
      <c r="G2578" s="0" t="inlineStr">
        <is>
          <t>MENS</t>
        </is>
      </c>
      <c r="H2578" s="0" t="inlineStr">
        <is>
          <t>M</t>
        </is>
      </c>
      <c r="I2578" s="0">
        <v>29.99</v>
      </c>
      <c r="J2578" s="0">
        <v>14</v>
      </c>
    </row>
    <row r="2579" spans="1:10" customHeight="0">
      <c r="A2579" s="0">
        <f>HYPERLINK("https://dl.dropboxusercontent.com/scl/fi/glorof12yqrz57fnfbdnd/soto-02.jpg?rlkey=j2pzq1xwrnp7xd9v0f8pg4k70&amp;dl=0","Click to download Image")</f>
      </c>
      <c r="B2579" s="0">
        <f>HYPERLINK("https://dl.dropboxusercontent.com/scl/fi/leufaxborg5deprarw503/mens-t-shirt-size-chartssoto-triblend.jpg?rlkey=14ijj9rpzb1zfnlbas6kfbzyj&amp;dl=0","Click to download SizeChart")</f>
      </c>
      <c r="C2579" s="0" t="inlineStr">
        <is>
          <t>Soto Men's 3/4 Sleeve Shirt</t>
        </is>
      </c>
      <c r="D2579" s="1">
        <v>103685</v>
      </c>
      <c r="E2579" s="0" t="inlineStr">
        <is>
          <t>SOTO:103685E-2XL</t>
        </is>
      </c>
      <c r="G2579" s="0" t="inlineStr">
        <is>
          <t>MENS</t>
        </is>
      </c>
      <c r="H2579" s="0" t="inlineStr">
        <is>
          <t>2XL</t>
        </is>
      </c>
      <c r="I2579" s="0">
        <v>31.99</v>
      </c>
      <c r="J2579" s="0">
        <v>10</v>
      </c>
    </row>
    <row r="2580" spans="1:10" customHeight="0">
      <c r="A2580" s="0">
        <f>HYPERLINK("https://dl.dropboxusercontent.com/scl/fi/ha28eezva21i5p9zulshv/95879af.jpg?rlkey=jxw0wbxx9vuiikl4a54dndx8r&amp;dl=0","Click to download Image")</f>
      </c>
      <c r="B2580" s="0">
        <f>HYPERLINK("https://dl.dropboxusercontent.com/scl/fi/p498jwtl0r371nm9tbt1r/neon-size-chartsmarcus-m.jpg?rlkey=701ysyze3zw3jfyi10ijvf2x4&amp;dl=0","Click to download SizeChart")</f>
      </c>
      <c r="C2580" s="0" t="inlineStr">
        <is>
          <t>Marcus Men's Long Sleeve T-Shirt</t>
        </is>
      </c>
      <c r="D2580" s="1">
        <v>95879</v>
      </c>
      <c r="E2580" s="0" t="inlineStr">
        <is>
          <t>MARCUS:95879A-S</t>
        </is>
      </c>
      <c r="G2580" s="0" t="inlineStr">
        <is>
          <t>MENS</t>
        </is>
      </c>
      <c r="H2580" s="0" t="inlineStr">
        <is>
          <t>S</t>
        </is>
      </c>
      <c r="I2580" s="0">
        <v>14.99</v>
      </c>
      <c r="J2580" s="0">
        <v>10</v>
      </c>
    </row>
    <row r="2581" spans="1:10" customHeight="0">
      <c r="A2581" s="0">
        <f>HYPERLINK("https://dl.dropboxusercontent.com/scl/fi/ha28eezva21i5p9zulshv/95879af.jpg?rlkey=jxw0wbxx9vuiikl4a54dndx8r&amp;dl=0","Click to download Image")</f>
      </c>
      <c r="B2581" s="0">
        <f>HYPERLINK("https://dl.dropboxusercontent.com/scl/fi/p498jwtl0r371nm9tbt1r/neon-size-chartsmarcus-m.jpg?rlkey=701ysyze3zw3jfyi10ijvf2x4&amp;dl=0","Click to download SizeChart")</f>
      </c>
      <c r="C2581" s="0" t="inlineStr">
        <is>
          <t>Marcus Men's Long Sleeve T-Shirt</t>
        </is>
      </c>
      <c r="D2581" s="1">
        <v>95879</v>
      </c>
      <c r="E2581" s="0" t="inlineStr">
        <is>
          <t>MARCUS:95879B-M</t>
        </is>
      </c>
      <c r="G2581" s="0" t="inlineStr">
        <is>
          <t>MENS</t>
        </is>
      </c>
      <c r="H2581" s="0" t="inlineStr">
        <is>
          <t>M</t>
        </is>
      </c>
      <c r="I2581" s="0">
        <v>14.99</v>
      </c>
      <c r="J2581" s="0">
        <v>57</v>
      </c>
    </row>
    <row r="2582" spans="1:10" customHeight="0">
      <c r="A2582" s="0">
        <f>HYPERLINK("https://dl.dropboxusercontent.com/scl/fi/ha28eezva21i5p9zulshv/95879af.jpg?rlkey=jxw0wbxx9vuiikl4a54dndx8r&amp;dl=0","Click to download Image")</f>
      </c>
      <c r="B2582" s="0">
        <f>HYPERLINK("https://dl.dropboxusercontent.com/scl/fi/p498jwtl0r371nm9tbt1r/neon-size-chartsmarcus-m.jpg?rlkey=701ysyze3zw3jfyi10ijvf2x4&amp;dl=0","Click to download SizeChart")</f>
      </c>
      <c r="C2582" s="0" t="inlineStr">
        <is>
          <t>Marcus Men's Long Sleeve T-Shirt</t>
        </is>
      </c>
      <c r="D2582" s="1">
        <v>95879</v>
      </c>
      <c r="E2582" s="0" t="inlineStr">
        <is>
          <t>MARCUS:95879C-L</t>
        </is>
      </c>
      <c r="G2582" s="0" t="inlineStr">
        <is>
          <t>MENS</t>
        </is>
      </c>
      <c r="H2582" s="0" t="inlineStr">
        <is>
          <t>L</t>
        </is>
      </c>
      <c r="I2582" s="0">
        <v>14.99</v>
      </c>
      <c r="J2582" s="0">
        <v>114</v>
      </c>
    </row>
    <row r="2583" spans="1:10" customHeight="0">
      <c r="A2583" s="0">
        <f>HYPERLINK("https://dl.dropboxusercontent.com/scl/fi/ha28eezva21i5p9zulshv/95879af.jpg?rlkey=jxw0wbxx9vuiikl4a54dndx8r&amp;dl=0","Click to download Image")</f>
      </c>
      <c r="B2583" s="0">
        <f>HYPERLINK("https://dl.dropboxusercontent.com/scl/fi/p498jwtl0r371nm9tbt1r/neon-size-chartsmarcus-m.jpg?rlkey=701ysyze3zw3jfyi10ijvf2x4&amp;dl=0","Click to download SizeChart")</f>
      </c>
      <c r="C2583" s="0" t="inlineStr">
        <is>
          <t>Marcus Men's Long Sleeve T-Shirt</t>
        </is>
      </c>
      <c r="D2583" s="1">
        <v>95879</v>
      </c>
      <c r="E2583" s="0" t="inlineStr">
        <is>
          <t>MARCUS:95879D-XL</t>
        </is>
      </c>
      <c r="G2583" s="0" t="inlineStr">
        <is>
          <t>MENS</t>
        </is>
      </c>
      <c r="H2583" s="0" t="inlineStr">
        <is>
          <t>XL</t>
        </is>
      </c>
      <c r="I2583" s="0">
        <v>14.99</v>
      </c>
      <c r="J2583" s="0">
        <v>109</v>
      </c>
    </row>
    <row r="2584" spans="1:10" customHeight="0">
      <c r="A2584" s="0">
        <f>HYPERLINK("https://dl.dropboxusercontent.com/scl/fi/ha28eezva21i5p9zulshv/95879af.jpg?rlkey=jxw0wbxx9vuiikl4a54dndx8r&amp;dl=0","Click to download Image")</f>
      </c>
      <c r="B2584" s="0">
        <f>HYPERLINK("https://dl.dropboxusercontent.com/scl/fi/p498jwtl0r371nm9tbt1r/neon-size-chartsmarcus-m.jpg?rlkey=701ysyze3zw3jfyi10ijvf2x4&amp;dl=0","Click to download SizeChart")</f>
      </c>
      <c r="C2584" s="0" t="inlineStr">
        <is>
          <t>Marcus Men's Long Sleeve T-Shirt</t>
        </is>
      </c>
      <c r="D2584" s="1">
        <v>95879</v>
      </c>
      <c r="E2584" s="0" t="inlineStr">
        <is>
          <t>MARCUS:95879E-2XL</t>
        </is>
      </c>
      <c r="G2584" s="0" t="inlineStr">
        <is>
          <t>MENS</t>
        </is>
      </c>
      <c r="H2584" s="0" t="inlineStr">
        <is>
          <t>2XL</t>
        </is>
      </c>
      <c r="I2584" s="0">
        <v>16.99</v>
      </c>
      <c r="J2584" s="0">
        <v>58</v>
      </c>
    </row>
    <row r="2585" spans="1:10" customHeight="0">
      <c r="A2585" s="0">
        <f>HYPERLINK("https://dl.dropboxusercontent.com/scl/fi/ha28eezva21i5p9zulshv/95879af.jpg?rlkey=jxw0wbxx9vuiikl4a54dndx8r&amp;dl=0","Click to download Image")</f>
      </c>
      <c r="B2585" s="0">
        <f>HYPERLINK("https://dl.dropboxusercontent.com/scl/fi/p498jwtl0r371nm9tbt1r/neon-size-chartsmarcus-m.jpg?rlkey=701ysyze3zw3jfyi10ijvf2x4&amp;dl=0","Click to download SizeChart")</f>
      </c>
      <c r="C2585" s="0" t="inlineStr">
        <is>
          <t>Marcus Men's Long Sleeve T-Shirt</t>
        </is>
      </c>
      <c r="D2585" s="1">
        <v>95879</v>
      </c>
      <c r="E2585" s="0" t="inlineStr">
        <is>
          <t>MARCUS:95879F-3XL</t>
        </is>
      </c>
      <c r="G2585" s="0" t="inlineStr">
        <is>
          <t>MENS</t>
        </is>
      </c>
      <c r="H2585" s="0" t="inlineStr">
        <is>
          <t>3XL</t>
        </is>
      </c>
      <c r="I2585" s="0">
        <v>16.99</v>
      </c>
      <c r="J2585" s="0">
        <v>31</v>
      </c>
    </row>
    <row r="2586" spans="1:10" customHeight="0">
      <c r="A2586" s="0">
        <f>HYPERLINK("https://dl.dropboxusercontent.com/scl/fi/c9xowq4llnlcnx5g2n6eq/95881-af.jpg?rlkey=xvnu676idvkhaz54l9g7m6jlr&amp;dl=0","Click to download Image")</f>
      </c>
      <c r="B2586" s="0">
        <f>HYPERLINK("https://dl.dropboxusercontent.com/scl/fi/odwskpd61jqiayhzr3jev/neon-size-chartskelsey.jpg?rlkey=7wjrq1ucx1fd1snmuqfermi13&amp;dl=0","Click to download SizeChart")</f>
      </c>
      <c r="C2586" s="0" t="inlineStr">
        <is>
          <t>Kelsey Women's Long Sleeve T-Shirt</t>
        </is>
      </c>
      <c r="D2586" s="1">
        <v>95881</v>
      </c>
      <c r="E2586" s="0" t="inlineStr">
        <is>
          <t>KELSEY:95881A-S</t>
        </is>
      </c>
      <c r="G2586" s="0" t="inlineStr">
        <is>
          <t>WOMENS</t>
        </is>
      </c>
      <c r="H2586" s="0" t="inlineStr">
        <is>
          <t>S</t>
        </is>
      </c>
      <c r="I2586" s="0">
        <v>14.99</v>
      </c>
      <c r="J2586" s="0">
        <v>36</v>
      </c>
    </row>
    <row r="2587" spans="1:10" customHeight="0">
      <c r="A2587" s="0">
        <f>HYPERLINK("https://dl.dropboxusercontent.com/scl/fi/c9xowq4llnlcnx5g2n6eq/95881-af.jpg?rlkey=xvnu676idvkhaz54l9g7m6jlr&amp;dl=0","Click to download Image")</f>
      </c>
      <c r="B2587" s="0">
        <f>HYPERLINK("https://dl.dropboxusercontent.com/scl/fi/odwskpd61jqiayhzr3jev/neon-size-chartskelsey.jpg?rlkey=7wjrq1ucx1fd1snmuqfermi13&amp;dl=0","Click to download SizeChart")</f>
      </c>
      <c r="C2587" s="0" t="inlineStr">
        <is>
          <t>Kelsey Women's Long Sleeve T-Shirt</t>
        </is>
      </c>
      <c r="D2587" s="1">
        <v>95881</v>
      </c>
      <c r="E2587" s="0" t="inlineStr">
        <is>
          <t>KELSEY:95881B-M</t>
        </is>
      </c>
      <c r="G2587" s="0" t="inlineStr">
        <is>
          <t>WOMENS</t>
        </is>
      </c>
      <c r="H2587" s="0" t="inlineStr">
        <is>
          <t>M</t>
        </is>
      </c>
      <c r="I2587" s="0">
        <v>14.99</v>
      </c>
      <c r="J2587" s="0">
        <v>67</v>
      </c>
    </row>
    <row r="2588" spans="1:10" customHeight="0">
      <c r="A2588" s="0">
        <f>HYPERLINK("https://dl.dropboxusercontent.com/scl/fi/c9xowq4llnlcnx5g2n6eq/95881-af.jpg?rlkey=xvnu676idvkhaz54l9g7m6jlr&amp;dl=0","Click to download Image")</f>
      </c>
      <c r="B2588" s="0">
        <f>HYPERLINK("https://dl.dropboxusercontent.com/scl/fi/odwskpd61jqiayhzr3jev/neon-size-chartskelsey.jpg?rlkey=7wjrq1ucx1fd1snmuqfermi13&amp;dl=0","Click to download SizeChart")</f>
      </c>
      <c r="C2588" s="0" t="inlineStr">
        <is>
          <t>Kelsey Women's Long Sleeve T-Shirt</t>
        </is>
      </c>
      <c r="D2588" s="1">
        <v>95881</v>
      </c>
      <c r="E2588" s="0" t="inlineStr">
        <is>
          <t>KELSEY:95881C-L</t>
        </is>
      </c>
      <c r="G2588" s="0" t="inlineStr">
        <is>
          <t>WOMENS</t>
        </is>
      </c>
      <c r="H2588" s="0" t="inlineStr">
        <is>
          <t>L</t>
        </is>
      </c>
      <c r="I2588" s="0">
        <v>14.99</v>
      </c>
      <c r="J2588" s="0">
        <v>123</v>
      </c>
    </row>
    <row r="2589" spans="1:10" customHeight="0">
      <c r="A2589" s="0">
        <f>HYPERLINK("https://dl.dropboxusercontent.com/scl/fi/c9xowq4llnlcnx5g2n6eq/95881-af.jpg?rlkey=xvnu676idvkhaz54l9g7m6jlr&amp;dl=0","Click to download Image")</f>
      </c>
      <c r="B2589" s="0">
        <f>HYPERLINK("https://dl.dropboxusercontent.com/scl/fi/odwskpd61jqiayhzr3jev/neon-size-chartskelsey.jpg?rlkey=7wjrq1ucx1fd1snmuqfermi13&amp;dl=0","Click to download SizeChart")</f>
      </c>
      <c r="C2589" s="0" t="inlineStr">
        <is>
          <t>Kelsey Women's Long Sleeve T-Shirt</t>
        </is>
      </c>
      <c r="D2589" s="1">
        <v>95881</v>
      </c>
      <c r="E2589" s="0" t="inlineStr">
        <is>
          <t>KELSEY:95881D-XL</t>
        </is>
      </c>
      <c r="G2589" s="0" t="inlineStr">
        <is>
          <t>WOMENS</t>
        </is>
      </c>
      <c r="H2589" s="0" t="inlineStr">
        <is>
          <t>XL</t>
        </is>
      </c>
      <c r="I2589" s="0">
        <v>14.99</v>
      </c>
      <c r="J2589" s="0">
        <v>121</v>
      </c>
    </row>
    <row r="2590" spans="1:10" customHeight="0">
      <c r="A2590" s="0">
        <f>HYPERLINK("https://dl.dropboxusercontent.com/scl/fi/c9xowq4llnlcnx5g2n6eq/95881-af.jpg?rlkey=xvnu676idvkhaz54l9g7m6jlr&amp;dl=0","Click to download Image")</f>
      </c>
      <c r="B2590" s="0">
        <f>HYPERLINK("https://dl.dropboxusercontent.com/scl/fi/odwskpd61jqiayhzr3jev/neon-size-chartskelsey.jpg?rlkey=7wjrq1ucx1fd1snmuqfermi13&amp;dl=0","Click to download SizeChart")</f>
      </c>
      <c r="C2590" s="0" t="inlineStr">
        <is>
          <t>Kelsey Women's Long Sleeve T-Shirt</t>
        </is>
      </c>
      <c r="D2590" s="1">
        <v>95881</v>
      </c>
      <c r="E2590" s="0" t="inlineStr">
        <is>
          <t>KELSEY:95881E-2XL</t>
        </is>
      </c>
      <c r="G2590" s="0" t="inlineStr">
        <is>
          <t>WOMENS</t>
        </is>
      </c>
      <c r="H2590" s="0" t="inlineStr">
        <is>
          <t>2XL</t>
        </is>
      </c>
      <c r="I2590" s="0">
        <v>16.99</v>
      </c>
      <c r="J2590" s="0">
        <v>75</v>
      </c>
    </row>
    <row r="2591" spans="1:10" customHeight="0">
      <c r="A2591" s="0">
        <f>HYPERLINK("https://dl.dropboxusercontent.com/scl/fi/c9xowq4llnlcnx5g2n6eq/95881-af.jpg?rlkey=xvnu676idvkhaz54l9g7m6jlr&amp;dl=0","Click to download Image")</f>
      </c>
      <c r="B2591" s="0">
        <f>HYPERLINK("https://dl.dropboxusercontent.com/scl/fi/odwskpd61jqiayhzr3jev/neon-size-chartskelsey.jpg?rlkey=7wjrq1ucx1fd1snmuqfermi13&amp;dl=0","Click to download SizeChart")</f>
      </c>
      <c r="C2591" s="0" t="inlineStr">
        <is>
          <t>Kelsey Women's Long Sleeve T-Shirt</t>
        </is>
      </c>
      <c r="D2591" s="1">
        <v>95881</v>
      </c>
      <c r="E2591" s="0" t="inlineStr">
        <is>
          <t>KELSEY:95881F-3XL</t>
        </is>
      </c>
      <c r="G2591" s="0" t="inlineStr">
        <is>
          <t>WOMENS</t>
        </is>
      </c>
      <c r="H2591" s="0" t="inlineStr">
        <is>
          <t>3XL</t>
        </is>
      </c>
      <c r="I2591" s="0">
        <v>16.99</v>
      </c>
      <c r="J2591" s="0">
        <v>23</v>
      </c>
    </row>
    <row r="2592" spans="1:10" customHeight="0">
      <c r="A2592" s="0">
        <f>HYPERLINK("https://dl.dropboxusercontent.com/scl/fi/0ltigkogufkjeqoqlm7t2/ay-f.jpg?rlkey=bi1m8z2cvfbbfl23ihsbnlr52&amp;dl=0","Click to download Image")</f>
      </c>
      <c r="B2592" s="0">
        <f>HYPERLINK("https://dl.dropboxusercontent.com/scl/fi/txjcbqrwx9ms9m187vpip/neon-size-chartsalexis-y.jpg?rlkey=7etau1pnlodhbd6hcp2j8nmnp&amp;dl=0","Click to download SizeChart")</f>
      </c>
      <c r="C2592" s="0" t="inlineStr">
        <is>
          <t>Alexis Youth T-Shirt</t>
        </is>
      </c>
      <c r="D2592" s="0" t="inlineStr">
        <is>
          <t>95874Y</t>
        </is>
      </c>
      <c r="E2592" s="0" t="inlineStr">
        <is>
          <t>ALEXIS:Y95874A-S</t>
        </is>
      </c>
      <c r="G2592" s="0" t="inlineStr">
        <is>
          <t>YOUTH</t>
        </is>
      </c>
      <c r="H2592" s="0" t="inlineStr">
        <is>
          <t>YS</t>
        </is>
      </c>
      <c r="I2592" s="0">
        <v>13.99</v>
      </c>
      <c r="J2592" s="0">
        <v>7</v>
      </c>
    </row>
    <row r="2593" spans="1:10" customHeight="0">
      <c r="A2593" s="0">
        <f>HYPERLINK("https://dl.dropboxusercontent.com/scl/fi/0ltigkogufkjeqoqlm7t2/ay-f.jpg?rlkey=bi1m8z2cvfbbfl23ihsbnlr52&amp;dl=0","Click to download Image")</f>
      </c>
      <c r="B2593" s="0">
        <f>HYPERLINK("https://dl.dropboxusercontent.com/scl/fi/txjcbqrwx9ms9m187vpip/neon-size-chartsalexis-y.jpg?rlkey=7etau1pnlodhbd6hcp2j8nmnp&amp;dl=0","Click to download SizeChart")</f>
      </c>
      <c r="C2593" s="0" t="inlineStr">
        <is>
          <t>Alexis Youth T-Shirt</t>
        </is>
      </c>
      <c r="D2593" s="0" t="inlineStr">
        <is>
          <t>95874Y</t>
        </is>
      </c>
      <c r="E2593" s="0" t="inlineStr">
        <is>
          <t>ALEXIS:Y95874B-M</t>
        </is>
      </c>
      <c r="G2593" s="0" t="inlineStr">
        <is>
          <t>YOUTH</t>
        </is>
      </c>
      <c r="H2593" s="0" t="inlineStr">
        <is>
          <t>YM</t>
        </is>
      </c>
      <c r="I2593" s="0">
        <v>13.99</v>
      </c>
      <c r="J2593" s="0">
        <v>13</v>
      </c>
    </row>
    <row r="2594" spans="1:10" customHeight="0">
      <c r="A2594" s="0">
        <f>HYPERLINK("https://dl.dropboxusercontent.com/scl/fi/0ltigkogufkjeqoqlm7t2/ay-f.jpg?rlkey=bi1m8z2cvfbbfl23ihsbnlr52&amp;dl=0","Click to download Image")</f>
      </c>
      <c r="B2594" s="0">
        <f>HYPERLINK("https://dl.dropboxusercontent.com/scl/fi/txjcbqrwx9ms9m187vpip/neon-size-chartsalexis-y.jpg?rlkey=7etau1pnlodhbd6hcp2j8nmnp&amp;dl=0","Click to download SizeChart")</f>
      </c>
      <c r="C2594" s="0" t="inlineStr">
        <is>
          <t>Alexis Youth T-Shirt</t>
        </is>
      </c>
      <c r="D2594" s="0" t="inlineStr">
        <is>
          <t>95874Y</t>
        </is>
      </c>
      <c r="E2594" s="0" t="inlineStr">
        <is>
          <t>ALEXIS:Y95874C-L</t>
        </is>
      </c>
      <c r="G2594" s="0" t="inlineStr">
        <is>
          <t>YOUTH</t>
        </is>
      </c>
      <c r="H2594" s="0" t="inlineStr">
        <is>
          <t>YL</t>
        </is>
      </c>
      <c r="I2594" s="0">
        <v>13.99</v>
      </c>
      <c r="J2594" s="0">
        <v>4</v>
      </c>
    </row>
    <row r="2595" spans="1:10" customHeight="0">
      <c r="A2595" s="0">
        <f>HYPERLINK("https://dl.dropboxusercontent.com/scl/fi/0ltigkogufkjeqoqlm7t2/ay-f.jpg?rlkey=bi1m8z2cvfbbfl23ihsbnlr52&amp;dl=0","Click to download Image")</f>
      </c>
      <c r="B2595" s="0">
        <f>HYPERLINK("https://dl.dropboxusercontent.com/scl/fi/txjcbqrwx9ms9m187vpip/neon-size-chartsalexis-y.jpg?rlkey=7etau1pnlodhbd6hcp2j8nmnp&amp;dl=0","Click to download SizeChart")</f>
      </c>
      <c r="C2595" s="0" t="inlineStr">
        <is>
          <t>Alexis Youth T-Shirt</t>
        </is>
      </c>
      <c r="D2595" s="0" t="inlineStr">
        <is>
          <t>95874Y</t>
        </is>
      </c>
      <c r="E2595" s="0" t="inlineStr">
        <is>
          <t>ALEXIS:Y95874D-XL</t>
        </is>
      </c>
      <c r="G2595" s="0" t="inlineStr">
        <is>
          <t>YOUTH</t>
        </is>
      </c>
      <c r="H2595" s="0" t="inlineStr">
        <is>
          <t>YXL</t>
        </is>
      </c>
      <c r="I2595" s="0">
        <v>13.99</v>
      </c>
      <c r="J2595" s="0">
        <v>11</v>
      </c>
    </row>
    <row r="2596" spans="1:10" customHeight="0">
      <c r="A2596" s="0">
        <f>HYPERLINK("https://dl.dropboxusercontent.com/scl/fi/8ed5v6mosme0mjv35n5wz/ayf.jpg?rlkey=f11benb85xcgot1vb5lrw9cvx&amp;dl=0","Click to download Image")</f>
      </c>
      <c r="B2596" s="0">
        <f>HYPERLINK("https://dl.dropboxusercontent.com/scl/fi/txjcbqrwx9ms9m187vpip/neon-size-chartsalexis-y.jpg?rlkey=7etau1pnlodhbd6hcp2j8nmnp&amp;dl=0","Click to download SizeChart")</f>
      </c>
      <c r="C2596" s="0" t="inlineStr">
        <is>
          <t>Alexis Youth T-Shirt</t>
        </is>
      </c>
      <c r="D2596" s="0" t="inlineStr">
        <is>
          <t>95876Y</t>
        </is>
      </c>
      <c r="E2596" s="0" t="inlineStr">
        <is>
          <t>ALEXIS:Y95876A-S</t>
        </is>
      </c>
      <c r="G2596" s="0" t="inlineStr">
        <is>
          <t>YOUTH</t>
        </is>
      </c>
      <c r="H2596" s="0" t="inlineStr">
        <is>
          <t>YS</t>
        </is>
      </c>
      <c r="I2596" s="0">
        <v>13.99</v>
      </c>
      <c r="J2596" s="0">
        <v>7</v>
      </c>
    </row>
    <row r="2597" spans="1:10" customHeight="0">
      <c r="A2597" s="0">
        <f>HYPERLINK("https://dl.dropboxusercontent.com/scl/fi/8ed5v6mosme0mjv35n5wz/ayf.jpg?rlkey=f11benb85xcgot1vb5lrw9cvx&amp;dl=0","Click to download Image")</f>
      </c>
      <c r="B2597" s="0">
        <f>HYPERLINK("https://dl.dropboxusercontent.com/scl/fi/txjcbqrwx9ms9m187vpip/neon-size-chartsalexis-y.jpg?rlkey=7etau1pnlodhbd6hcp2j8nmnp&amp;dl=0","Click to download SizeChart")</f>
      </c>
      <c r="C2597" s="0" t="inlineStr">
        <is>
          <t>Alexis Youth T-Shirt</t>
        </is>
      </c>
      <c r="D2597" s="0" t="inlineStr">
        <is>
          <t>95876Y</t>
        </is>
      </c>
      <c r="E2597" s="0" t="inlineStr">
        <is>
          <t>ALEXIS:Y95876B-M</t>
        </is>
      </c>
      <c r="G2597" s="0" t="inlineStr">
        <is>
          <t>YOUTH</t>
        </is>
      </c>
      <c r="H2597" s="0" t="inlineStr">
        <is>
          <t>YM</t>
        </is>
      </c>
      <c r="I2597" s="0">
        <v>13.99</v>
      </c>
      <c r="J2597" s="0">
        <v>14</v>
      </c>
    </row>
    <row r="2598" spans="1:10" customHeight="0">
      <c r="A2598" s="0">
        <f>HYPERLINK("https://dl.dropboxusercontent.com/scl/fi/8ed5v6mosme0mjv35n5wz/ayf.jpg?rlkey=f11benb85xcgot1vb5lrw9cvx&amp;dl=0","Click to download Image")</f>
      </c>
      <c r="B2598" s="0">
        <f>HYPERLINK("https://dl.dropboxusercontent.com/scl/fi/txjcbqrwx9ms9m187vpip/neon-size-chartsalexis-y.jpg?rlkey=7etau1pnlodhbd6hcp2j8nmnp&amp;dl=0","Click to download SizeChart")</f>
      </c>
      <c r="C2598" s="0" t="inlineStr">
        <is>
          <t>Alexis Youth T-Shirt</t>
        </is>
      </c>
      <c r="D2598" s="0" t="inlineStr">
        <is>
          <t>95876Y</t>
        </is>
      </c>
      <c r="E2598" s="0" t="inlineStr">
        <is>
          <t>ALEXIS:Y95876C-L</t>
        </is>
      </c>
      <c r="G2598" s="0" t="inlineStr">
        <is>
          <t>YOUTH</t>
        </is>
      </c>
      <c r="H2598" s="0" t="inlineStr">
        <is>
          <t>YL</t>
        </is>
      </c>
      <c r="I2598" s="0">
        <v>13.99</v>
      </c>
      <c r="J2598" s="0">
        <v>7</v>
      </c>
    </row>
    <row r="2599" spans="1:10" customHeight="0">
      <c r="A2599" s="0">
        <f>HYPERLINK("https://dl.dropboxusercontent.com/scl/fi/8ed5v6mosme0mjv35n5wz/ayf.jpg?rlkey=f11benb85xcgot1vb5lrw9cvx&amp;dl=0","Click to download Image")</f>
      </c>
      <c r="B2599" s="0">
        <f>HYPERLINK("https://dl.dropboxusercontent.com/scl/fi/txjcbqrwx9ms9m187vpip/neon-size-chartsalexis-y.jpg?rlkey=7etau1pnlodhbd6hcp2j8nmnp&amp;dl=0","Click to download SizeChart")</f>
      </c>
      <c r="C2599" s="0" t="inlineStr">
        <is>
          <t>Alexis Youth T-Shirt</t>
        </is>
      </c>
      <c r="D2599" s="0" t="inlineStr">
        <is>
          <t>95876Y</t>
        </is>
      </c>
      <c r="E2599" s="0" t="inlineStr">
        <is>
          <t>ALEXIS:Y95876D-XL</t>
        </is>
      </c>
      <c r="G2599" s="0" t="inlineStr">
        <is>
          <t>YOUTH</t>
        </is>
      </c>
      <c r="H2599" s="0" t="inlineStr">
        <is>
          <t>YXL</t>
        </is>
      </c>
      <c r="I2599" s="0">
        <v>13.99</v>
      </c>
      <c r="J2599" s="0">
        <v>9</v>
      </c>
    </row>
    <row r="2600" spans="1:10" customHeight="0">
      <c r="A2600" s="0">
        <f>HYPERLINK("https://dl.dropboxusercontent.com/scl/fi/7ga614an1lewyfp84w21h/myf.jpg?rlkey=97lcy8xdtu8nd61f5adjnz1xa&amp;dl=0","Click to download Image")</f>
      </c>
      <c r="B2600" s="0">
        <f>HYPERLINK("https://dl.dropboxusercontent.com/scl/fi/se4076jfqzxt8nhdgw8zu/neon-size-chartsmarcus-y.jpg?rlkey=gp630c5lt6qofq0elmg42rn05&amp;dl=0","Click to download SizeChart")</f>
      </c>
      <c r="C2600" s="0" t="inlineStr">
        <is>
          <t>Marcus Youth Long Sleeve T-Shirt</t>
        </is>
      </c>
      <c r="D2600" s="0" t="inlineStr">
        <is>
          <t>95878Y</t>
        </is>
      </c>
      <c r="E2600" s="0" t="inlineStr">
        <is>
          <t>MARCUS:Y95878A-S</t>
        </is>
      </c>
      <c r="G2600" s="0" t="inlineStr">
        <is>
          <t>YOUTH</t>
        </is>
      </c>
      <c r="H2600" s="0" t="inlineStr">
        <is>
          <t>YS</t>
        </is>
      </c>
      <c r="I2600" s="0">
        <v>14.99</v>
      </c>
      <c r="J2600" s="0">
        <v>2</v>
      </c>
    </row>
    <row r="2601" spans="1:10" customHeight="0">
      <c r="A2601" s="0">
        <f>HYPERLINK("https://dl.dropboxusercontent.com/scl/fi/7ga614an1lewyfp84w21h/myf.jpg?rlkey=97lcy8xdtu8nd61f5adjnz1xa&amp;dl=0","Click to download Image")</f>
      </c>
      <c r="B2601" s="0">
        <f>HYPERLINK("https://dl.dropboxusercontent.com/scl/fi/se4076jfqzxt8nhdgw8zu/neon-size-chartsmarcus-y.jpg?rlkey=gp630c5lt6qofq0elmg42rn05&amp;dl=0","Click to download SizeChart")</f>
      </c>
      <c r="C2601" s="0" t="inlineStr">
        <is>
          <t>Marcus Youth Long Sleeve T-Shirt</t>
        </is>
      </c>
      <c r="D2601" s="0" t="inlineStr">
        <is>
          <t>95878Y</t>
        </is>
      </c>
      <c r="E2601" s="0" t="inlineStr">
        <is>
          <t>MARCUS:Y95878B-M</t>
        </is>
      </c>
      <c r="G2601" s="0" t="inlineStr">
        <is>
          <t>YOUTH</t>
        </is>
      </c>
      <c r="H2601" s="0" t="inlineStr">
        <is>
          <t>YM</t>
        </is>
      </c>
      <c r="I2601" s="0">
        <v>14.99</v>
      </c>
      <c r="J2601" s="0">
        <v>0</v>
      </c>
    </row>
    <row r="2602" spans="1:10" customHeight="0">
      <c r="A2602" s="0">
        <f>HYPERLINK("https://dl.dropboxusercontent.com/scl/fi/7ga614an1lewyfp84w21h/myf.jpg?rlkey=97lcy8xdtu8nd61f5adjnz1xa&amp;dl=0","Click to download Image")</f>
      </c>
      <c r="B2602" s="0">
        <f>HYPERLINK("https://dl.dropboxusercontent.com/scl/fi/se4076jfqzxt8nhdgw8zu/neon-size-chartsmarcus-y.jpg?rlkey=gp630c5lt6qofq0elmg42rn05&amp;dl=0","Click to download SizeChart")</f>
      </c>
      <c r="C2602" s="0" t="inlineStr">
        <is>
          <t>Marcus Youth Long Sleeve T-Shirt</t>
        </is>
      </c>
      <c r="D2602" s="0" t="inlineStr">
        <is>
          <t>95878Y</t>
        </is>
      </c>
      <c r="E2602" s="0" t="inlineStr">
        <is>
          <t>MARCUS:Y95878C-L</t>
        </is>
      </c>
      <c r="G2602" s="0" t="inlineStr">
        <is>
          <t>YOUTH</t>
        </is>
      </c>
      <c r="H2602" s="0" t="inlineStr">
        <is>
          <t>YL</t>
        </is>
      </c>
      <c r="I2602" s="0">
        <v>14.99</v>
      </c>
      <c r="J2602" s="0">
        <v>0</v>
      </c>
    </row>
    <row r="2603" spans="1:10" customHeight="0">
      <c r="A2603" s="0">
        <f>HYPERLINK("https://dl.dropboxusercontent.com/scl/fi/7ga614an1lewyfp84w21h/myf.jpg?rlkey=97lcy8xdtu8nd61f5adjnz1xa&amp;dl=0","Click to download Image")</f>
      </c>
      <c r="B2603" s="0">
        <f>HYPERLINK("https://dl.dropboxusercontent.com/scl/fi/se4076jfqzxt8nhdgw8zu/neon-size-chartsmarcus-y.jpg?rlkey=gp630c5lt6qofq0elmg42rn05&amp;dl=0","Click to download SizeChart")</f>
      </c>
      <c r="C2603" s="0" t="inlineStr">
        <is>
          <t>Marcus Youth Long Sleeve T-Shirt</t>
        </is>
      </c>
      <c r="D2603" s="0" t="inlineStr">
        <is>
          <t>95878Y</t>
        </is>
      </c>
      <c r="E2603" s="0" t="inlineStr">
        <is>
          <t>MARCUS:Y95878D-XL</t>
        </is>
      </c>
      <c r="G2603" s="0" t="inlineStr">
        <is>
          <t>YOUTH</t>
        </is>
      </c>
      <c r="H2603" s="0" t="inlineStr">
        <is>
          <t>YXL</t>
        </is>
      </c>
      <c r="I2603" s="0">
        <v>14.99</v>
      </c>
      <c r="J2603" s="0">
        <v>49</v>
      </c>
    </row>
    <row r="2604" spans="1:10" customHeight="0">
      <c r="A2604" s="0">
        <f>HYPERLINK("https://dl.dropboxusercontent.com/scl/fi/6lar17o485ucdag5ycomu/myf.jpg?rlkey=f6iy22r5t6bcze5bjj9gazepb&amp;dl=0","Click to download Image")</f>
      </c>
      <c r="B2604" s="0">
        <f>HYPERLINK("https://dl.dropboxusercontent.com/scl/fi/se4076jfqzxt8nhdgw8zu/neon-size-chartsmarcus-y.jpg?rlkey=gp630c5lt6qofq0elmg42rn05&amp;dl=0","Click to download SizeChart")</f>
      </c>
      <c r="C2604" s="0" t="inlineStr">
        <is>
          <t>Marcus Youth Long Sleeve T-Shirt</t>
        </is>
      </c>
      <c r="D2604" s="0" t="inlineStr">
        <is>
          <t>95879Y</t>
        </is>
      </c>
      <c r="E2604" s="0" t="inlineStr">
        <is>
          <t>MARCUS:Y95879A-S</t>
        </is>
      </c>
      <c r="G2604" s="0" t="inlineStr">
        <is>
          <t>YOUTH</t>
        </is>
      </c>
      <c r="H2604" s="0" t="inlineStr">
        <is>
          <t>YS</t>
        </is>
      </c>
      <c r="I2604" s="0">
        <v>14.99</v>
      </c>
      <c r="J2604" s="0">
        <v>33</v>
      </c>
    </row>
    <row r="2605" spans="1:10" customHeight="0">
      <c r="A2605" s="0">
        <f>HYPERLINK("https://dl.dropboxusercontent.com/scl/fi/6lar17o485ucdag5ycomu/myf.jpg?rlkey=f6iy22r5t6bcze5bjj9gazepb&amp;dl=0","Click to download Image")</f>
      </c>
      <c r="B2605" s="0">
        <f>HYPERLINK("https://dl.dropboxusercontent.com/scl/fi/se4076jfqzxt8nhdgw8zu/neon-size-chartsmarcus-y.jpg?rlkey=gp630c5lt6qofq0elmg42rn05&amp;dl=0","Click to download SizeChart")</f>
      </c>
      <c r="C2605" s="0" t="inlineStr">
        <is>
          <t>Marcus Youth Long Sleeve T-Shirt</t>
        </is>
      </c>
      <c r="D2605" s="0" t="inlineStr">
        <is>
          <t>95879Y</t>
        </is>
      </c>
      <c r="E2605" s="0" t="inlineStr">
        <is>
          <t>MARCUS:Y95879B-M</t>
        </is>
      </c>
      <c r="G2605" s="0" t="inlineStr">
        <is>
          <t>YOUTH</t>
        </is>
      </c>
      <c r="H2605" s="0" t="inlineStr">
        <is>
          <t>YM</t>
        </is>
      </c>
      <c r="I2605" s="0">
        <v>14.99</v>
      </c>
      <c r="J2605" s="0">
        <v>0</v>
      </c>
    </row>
    <row r="2606" spans="1:10" customHeight="0">
      <c r="A2606" s="0">
        <f>HYPERLINK("https://dl.dropboxusercontent.com/scl/fi/6lar17o485ucdag5ycomu/myf.jpg?rlkey=f6iy22r5t6bcze5bjj9gazepb&amp;dl=0","Click to download Image")</f>
      </c>
      <c r="B2606" s="0">
        <f>HYPERLINK("https://dl.dropboxusercontent.com/scl/fi/se4076jfqzxt8nhdgw8zu/neon-size-chartsmarcus-y.jpg?rlkey=gp630c5lt6qofq0elmg42rn05&amp;dl=0","Click to download SizeChart")</f>
      </c>
      <c r="C2606" s="0" t="inlineStr">
        <is>
          <t>Marcus Youth Long Sleeve T-Shirt</t>
        </is>
      </c>
      <c r="D2606" s="0" t="inlineStr">
        <is>
          <t>95879Y</t>
        </is>
      </c>
      <c r="E2606" s="0" t="inlineStr">
        <is>
          <t>MARCUS:Y95879C-L</t>
        </is>
      </c>
      <c r="G2606" s="0" t="inlineStr">
        <is>
          <t>YOUTH</t>
        </is>
      </c>
      <c r="H2606" s="0" t="inlineStr">
        <is>
          <t>YL</t>
        </is>
      </c>
      <c r="I2606" s="0">
        <v>14.99</v>
      </c>
      <c r="J2606" s="0">
        <v>0</v>
      </c>
    </row>
    <row r="2607" spans="1:10" customHeight="0">
      <c r="A2607" s="0">
        <f>HYPERLINK("https://dl.dropboxusercontent.com/scl/fi/6lar17o485ucdag5ycomu/myf.jpg?rlkey=f6iy22r5t6bcze5bjj9gazepb&amp;dl=0","Click to download Image")</f>
      </c>
      <c r="B2607" s="0">
        <f>HYPERLINK("https://dl.dropboxusercontent.com/scl/fi/se4076jfqzxt8nhdgw8zu/neon-size-chartsmarcus-y.jpg?rlkey=gp630c5lt6qofq0elmg42rn05&amp;dl=0","Click to download SizeChart")</f>
      </c>
      <c r="C2607" s="0" t="inlineStr">
        <is>
          <t>Marcus Youth Long Sleeve T-Shirt</t>
        </is>
      </c>
      <c r="D2607" s="0" t="inlineStr">
        <is>
          <t>95879Y</t>
        </is>
      </c>
      <c r="E2607" s="0" t="inlineStr">
        <is>
          <t>MARCUS:Y95879D-XL</t>
        </is>
      </c>
      <c r="G2607" s="0" t="inlineStr">
        <is>
          <t>YOUTH</t>
        </is>
      </c>
      <c r="H2607" s="0" t="inlineStr">
        <is>
          <t>YXL</t>
        </is>
      </c>
      <c r="I2607" s="0">
        <v>14.99</v>
      </c>
      <c r="J2607" s="0">
        <v>0</v>
      </c>
    </row>
    <row r="2608" spans="1:10" customHeight="0">
      <c r="A2608" s="0">
        <f>HYPERLINK("https://dl.dropboxusercontent.com/scl/fi/bb2y7je6vyp62kqz8elly/667a4779-copy-2.jpg?rlkey=jqn1dullxfiqk9rf0mcsyxam9&amp;dl=0","Click to download Image")</f>
      </c>
      <c r="B2608" s="0">
        <f>HYPERLINK("https://dl.dropboxusercontent.com/scl/fi/exymfztblajt1uv8mg4e4/10-18-size-chartsmens-relaxed.jpg?rlkey=yqjimthzorxhk04ibefzf1v75&amp;dl=0","Click to download SizeChart")</f>
      </c>
      <c r="C2608" s="0" t="inlineStr">
        <is>
          <t>Randy Men's Performance Polo</t>
        </is>
      </c>
      <c r="D2608" s="1">
        <v>103071</v>
      </c>
      <c r="E2608" s="0" t="inlineStr">
        <is>
          <t>RANDY:103071A-S</t>
        </is>
      </c>
      <c r="G2608" s="0" t="inlineStr">
        <is>
          <t>MENS</t>
        </is>
      </c>
      <c r="H2608" s="0" t="inlineStr">
        <is>
          <t>S</t>
        </is>
      </c>
      <c r="I2608" s="0">
        <v>44.99</v>
      </c>
      <c r="J2608" s="0">
        <v>57</v>
      </c>
    </row>
    <row r="2609" spans="1:10" customHeight="0">
      <c r="A2609" s="0">
        <f>HYPERLINK("https://dl.dropboxusercontent.com/scl/fi/bb2y7je6vyp62kqz8elly/667a4779-copy-2.jpg?rlkey=jqn1dullxfiqk9rf0mcsyxam9&amp;dl=0","Click to download Image")</f>
      </c>
      <c r="B2609" s="0">
        <f>HYPERLINK("https://dl.dropboxusercontent.com/scl/fi/exymfztblajt1uv8mg4e4/10-18-size-chartsmens-relaxed.jpg?rlkey=yqjimthzorxhk04ibefzf1v75&amp;dl=0","Click to download SizeChart")</f>
      </c>
      <c r="C2609" s="0" t="inlineStr">
        <is>
          <t>Randy Men's Performance Polo</t>
        </is>
      </c>
      <c r="D2609" s="1">
        <v>103071</v>
      </c>
      <c r="E2609" s="0" t="inlineStr">
        <is>
          <t>RANDY:103071B-M</t>
        </is>
      </c>
      <c r="G2609" s="0" t="inlineStr">
        <is>
          <t>MENS</t>
        </is>
      </c>
      <c r="H2609" s="0" t="inlineStr">
        <is>
          <t>M</t>
        </is>
      </c>
      <c r="I2609" s="0">
        <v>44.99</v>
      </c>
      <c r="J2609" s="0">
        <v>69</v>
      </c>
    </row>
    <row r="2610" spans="1:10" customHeight="0">
      <c r="A2610" s="0">
        <f>HYPERLINK("https://dl.dropboxusercontent.com/scl/fi/bb2y7je6vyp62kqz8elly/667a4779-copy-2.jpg?rlkey=jqn1dullxfiqk9rf0mcsyxam9&amp;dl=0","Click to download Image")</f>
      </c>
      <c r="B2610" s="0">
        <f>HYPERLINK("https://dl.dropboxusercontent.com/scl/fi/exymfztblajt1uv8mg4e4/10-18-size-chartsmens-relaxed.jpg?rlkey=yqjimthzorxhk04ibefzf1v75&amp;dl=0","Click to download SizeChart")</f>
      </c>
      <c r="C2610" s="0" t="inlineStr">
        <is>
          <t>Randy Men's Performance Polo</t>
        </is>
      </c>
      <c r="D2610" s="1">
        <v>103071</v>
      </c>
      <c r="E2610" s="0" t="inlineStr">
        <is>
          <t>RANDY:103071C-L</t>
        </is>
      </c>
      <c r="G2610" s="0" t="inlineStr">
        <is>
          <t>MENS</t>
        </is>
      </c>
      <c r="H2610" s="0" t="inlineStr">
        <is>
          <t>L</t>
        </is>
      </c>
      <c r="I2610" s="0">
        <v>44.99</v>
      </c>
      <c r="J2610" s="0">
        <v>62</v>
      </c>
    </row>
    <row r="2611" spans="1:10" customHeight="0">
      <c r="A2611" s="0">
        <f>HYPERLINK("https://dl.dropboxusercontent.com/scl/fi/bb2y7je6vyp62kqz8elly/667a4779-copy-2.jpg?rlkey=jqn1dullxfiqk9rf0mcsyxam9&amp;dl=0","Click to download Image")</f>
      </c>
      <c r="B2611" s="0">
        <f>HYPERLINK("https://dl.dropboxusercontent.com/scl/fi/exymfztblajt1uv8mg4e4/10-18-size-chartsmens-relaxed.jpg?rlkey=yqjimthzorxhk04ibefzf1v75&amp;dl=0","Click to download SizeChart")</f>
      </c>
      <c r="C2611" s="0" t="inlineStr">
        <is>
          <t>Randy Men's Performance Polo</t>
        </is>
      </c>
      <c r="D2611" s="1">
        <v>103071</v>
      </c>
      <c r="E2611" s="0" t="inlineStr">
        <is>
          <t>RANDY:103071D-XL</t>
        </is>
      </c>
      <c r="G2611" s="0" t="inlineStr">
        <is>
          <t>MENS</t>
        </is>
      </c>
      <c r="H2611" s="0" t="inlineStr">
        <is>
          <t>XL</t>
        </is>
      </c>
      <c r="I2611" s="0">
        <v>44.99</v>
      </c>
      <c r="J2611" s="0">
        <v>51</v>
      </c>
    </row>
    <row r="2612" spans="1:10" customHeight="0">
      <c r="A2612" s="0">
        <f>HYPERLINK("https://dl.dropboxusercontent.com/scl/fi/bb2y7je6vyp62kqz8elly/667a4779-copy-2.jpg?rlkey=jqn1dullxfiqk9rf0mcsyxam9&amp;dl=0","Click to download Image")</f>
      </c>
      <c r="B2612" s="0">
        <f>HYPERLINK("https://dl.dropboxusercontent.com/scl/fi/exymfztblajt1uv8mg4e4/10-18-size-chartsmens-relaxed.jpg?rlkey=yqjimthzorxhk04ibefzf1v75&amp;dl=0","Click to download SizeChart")</f>
      </c>
      <c r="C2612" s="0" t="inlineStr">
        <is>
          <t>Randy Men's Performance Polo</t>
        </is>
      </c>
      <c r="D2612" s="1">
        <v>103071</v>
      </c>
      <c r="E2612" s="0" t="inlineStr">
        <is>
          <t>RANDY:103071E-2XL</t>
        </is>
      </c>
      <c r="G2612" s="0" t="inlineStr">
        <is>
          <t>MENS</t>
        </is>
      </c>
      <c r="H2612" s="0" t="inlineStr">
        <is>
          <t>2XL</t>
        </is>
      </c>
      <c r="I2612" s="0">
        <v>46.99</v>
      </c>
      <c r="J2612" s="0">
        <v>51</v>
      </c>
    </row>
    <row r="2613" spans="1:10" customHeight="0">
      <c r="A2613" s="0">
        <f>HYPERLINK("https://dl.dropboxusercontent.com/scl/fi/bb2y7je6vyp62kqz8elly/667a4779-copy-2.jpg?rlkey=jqn1dullxfiqk9rf0mcsyxam9&amp;dl=0","Click to download Image")</f>
      </c>
      <c r="B2613" s="0">
        <f>HYPERLINK("https://dl.dropboxusercontent.com/scl/fi/exymfztblajt1uv8mg4e4/10-18-size-chartsmens-relaxed.jpg?rlkey=yqjimthzorxhk04ibefzf1v75&amp;dl=0","Click to download SizeChart")</f>
      </c>
      <c r="C2613" s="0" t="inlineStr">
        <is>
          <t>Randy Men's Performance Polo</t>
        </is>
      </c>
      <c r="D2613" s="1">
        <v>103071</v>
      </c>
      <c r="E2613" s="0" t="inlineStr">
        <is>
          <t>RANDY:103071F-3XL</t>
        </is>
      </c>
      <c r="G2613" s="0" t="inlineStr">
        <is>
          <t>MENS</t>
        </is>
      </c>
      <c r="H2613" s="0" t="inlineStr">
        <is>
          <t>3XL</t>
        </is>
      </c>
      <c r="I2613" s="0">
        <v>46.99</v>
      </c>
      <c r="J2613" s="0">
        <v>18</v>
      </c>
    </row>
    <row r="2614" spans="1:10" customHeight="0">
      <c r="A2614" s="0">
        <f>HYPERLINK("https://dl.dropboxusercontent.com/scl/fi/v2bt4sge9htgehkwxc57o/105585-f.jpg?rlkey=le6f774lj5d2mzeligwq1933z&amp;dl=0","Click to download Image")</f>
      </c>
      <c r="C2614" s="0" t="inlineStr">
        <is>
          <t>Kenna Women's Performance Long Sleeve Shirt</t>
        </is>
      </c>
      <c r="D2614" s="1">
        <v>105585</v>
      </c>
      <c r="E2614" s="0" t="inlineStr">
        <is>
          <t>KENNA:105585A-S</t>
        </is>
      </c>
      <c r="G2614" s="0" t="inlineStr">
        <is>
          <t>WOMENS</t>
        </is>
      </c>
      <c r="H2614" s="0" t="inlineStr">
        <is>
          <t>S</t>
        </is>
      </c>
      <c r="I2614" s="0">
        <v>29.99</v>
      </c>
      <c r="J2614" s="0">
        <v>18</v>
      </c>
    </row>
    <row r="2615" spans="1:10" customHeight="0">
      <c r="A2615" s="0">
        <f>HYPERLINK("https://dl.dropboxusercontent.com/scl/fi/v2bt4sge9htgehkwxc57o/105585-f.jpg?rlkey=le6f774lj5d2mzeligwq1933z&amp;dl=0","Click to download Image")</f>
      </c>
      <c r="C2615" s="0" t="inlineStr">
        <is>
          <t>Kenna Women's Performance Long Sleeve Shirt</t>
        </is>
      </c>
      <c r="D2615" s="1">
        <v>105585</v>
      </c>
      <c r="E2615" s="0" t="inlineStr">
        <is>
          <t>KENNA:105585B-M</t>
        </is>
      </c>
      <c r="G2615" s="0" t="inlineStr">
        <is>
          <t>WOMENS</t>
        </is>
      </c>
      <c r="H2615" s="0" t="inlineStr">
        <is>
          <t>M</t>
        </is>
      </c>
      <c r="I2615" s="0">
        <v>29.99</v>
      </c>
      <c r="J2615" s="0">
        <v>8</v>
      </c>
    </row>
    <row r="2616" spans="1:10" customHeight="0">
      <c r="A2616" s="0">
        <f>HYPERLINK("https://dl.dropboxusercontent.com/scl/fi/v2bt4sge9htgehkwxc57o/105585-f.jpg?rlkey=le6f774lj5d2mzeligwq1933z&amp;dl=0","Click to download Image")</f>
      </c>
      <c r="C2616" s="0" t="inlineStr">
        <is>
          <t>Kenna Women's Performance Long Sleeve Shirt</t>
        </is>
      </c>
      <c r="D2616" s="1">
        <v>105585</v>
      </c>
      <c r="E2616" s="0" t="inlineStr">
        <is>
          <t>KENNA:105585D-XL</t>
        </is>
      </c>
      <c r="G2616" s="0" t="inlineStr">
        <is>
          <t>WOMENS</t>
        </is>
      </c>
      <c r="H2616" s="0" t="inlineStr">
        <is>
          <t>XL</t>
        </is>
      </c>
      <c r="I2616" s="0">
        <v>29.99</v>
      </c>
      <c r="J2616" s="0">
        <v>4</v>
      </c>
    </row>
    <row r="2617" spans="1:10" customHeight="0">
      <c r="A2617" s="0">
        <f>HYPERLINK("https://dl.dropboxusercontent.com/scl/fi/v2bt4sge9htgehkwxc57o/105585-f.jpg?rlkey=le6f774lj5d2mzeligwq1933z&amp;dl=0","Click to download Image")</f>
      </c>
      <c r="C2617" s="0" t="inlineStr">
        <is>
          <t>Kenna Women's Performance Long Sleeve Shirt</t>
        </is>
      </c>
      <c r="D2617" s="1">
        <v>105585</v>
      </c>
      <c r="E2617" s="0" t="inlineStr">
        <is>
          <t>KENNA:105585E-2XL</t>
        </is>
      </c>
      <c r="G2617" s="0" t="inlineStr">
        <is>
          <t>WOMENS</t>
        </is>
      </c>
      <c r="H2617" s="0" t="inlineStr">
        <is>
          <t>2XL</t>
        </is>
      </c>
      <c r="I2617" s="0">
        <v>31.99</v>
      </c>
      <c r="J2617" s="0">
        <v>7</v>
      </c>
    </row>
    <row r="2618" spans="1:10" customHeight="0">
      <c r="A2618" s="0">
        <f>HYPERLINK("https://dl.dropboxusercontent.com/scl/fi/d8ud3p8tm9nqp3twld4s7/iowa.jpg?rlkey=gqh2g720qgjo3n7o10reqzfps&amp;dl=0","Click to download Image")</f>
      </c>
      <c r="B2618" s="0">
        <f>HYPERLINK("https://dl.dropboxusercontent.com/scl/fi/e4awf2yk81vydkrp725wd/womens-t-shirt-size-chartsmarilynn-bamboo.jpg?rlkey=50tk09fw7jrr6eg6cec0tmn3u&amp;dl=0","Click to download SizeChart")</f>
      </c>
      <c r="C2618" s="0" t="inlineStr">
        <is>
          <t>"Have My Heart" Marilynn V-Neck</t>
        </is>
      </c>
      <c r="D2618" s="1">
        <v>113847</v>
      </c>
      <c r="E2618" s="0" t="inlineStr">
        <is>
          <t>IOWA HAVE MY HEART:113847A-S</t>
        </is>
      </c>
      <c r="F2618" s="2">
        <v>800113847048</v>
      </c>
      <c r="G2618" s="0" t="inlineStr">
        <is>
          <t>WOMENS</t>
        </is>
      </c>
      <c r="H2618" s="0" t="inlineStr">
        <is>
          <t>S</t>
        </is>
      </c>
      <c r="I2618" s="0">
        <v>29.99</v>
      </c>
      <c r="J2618" s="0">
        <v>48</v>
      </c>
    </row>
    <row r="2619" spans="1:10" customHeight="0">
      <c r="A2619" s="0">
        <f>HYPERLINK("https://dl.dropboxusercontent.com/scl/fi/d8ud3p8tm9nqp3twld4s7/iowa.jpg?rlkey=gqh2g720qgjo3n7o10reqzfps&amp;dl=0","Click to download Image")</f>
      </c>
      <c r="B2619" s="0">
        <f>HYPERLINK("https://dl.dropboxusercontent.com/scl/fi/e4awf2yk81vydkrp725wd/womens-t-shirt-size-chartsmarilynn-bamboo.jpg?rlkey=50tk09fw7jrr6eg6cec0tmn3u&amp;dl=0","Click to download SizeChart")</f>
      </c>
      <c r="C2619" s="0" t="inlineStr">
        <is>
          <t>"Have My Heart" Marilynn V-Neck</t>
        </is>
      </c>
      <c r="D2619" s="1">
        <v>113847</v>
      </c>
      <c r="E2619" s="0" t="inlineStr">
        <is>
          <t>IOWA HAVE MY HEART:113847B-M</t>
        </is>
      </c>
      <c r="F2619" s="2">
        <v>800113847055</v>
      </c>
      <c r="G2619" s="0" t="inlineStr">
        <is>
          <t>WOMENS</t>
        </is>
      </c>
      <c r="H2619" s="0" t="inlineStr">
        <is>
          <t>M</t>
        </is>
      </c>
      <c r="I2619" s="0">
        <v>29.99</v>
      </c>
      <c r="J2619" s="0">
        <v>35</v>
      </c>
    </row>
    <row r="2620" spans="1:10" customHeight="0">
      <c r="A2620" s="0">
        <f>HYPERLINK("https://dl.dropboxusercontent.com/scl/fi/d8ud3p8tm9nqp3twld4s7/iowa.jpg?rlkey=gqh2g720qgjo3n7o10reqzfps&amp;dl=0","Click to download Image")</f>
      </c>
      <c r="B2620" s="0">
        <f>HYPERLINK("https://dl.dropboxusercontent.com/scl/fi/e4awf2yk81vydkrp725wd/womens-t-shirt-size-chartsmarilynn-bamboo.jpg?rlkey=50tk09fw7jrr6eg6cec0tmn3u&amp;dl=0","Click to download SizeChart")</f>
      </c>
      <c r="C2620" s="0" t="inlineStr">
        <is>
          <t>"Have My Heart" Marilynn V-Neck</t>
        </is>
      </c>
      <c r="D2620" s="1">
        <v>113847</v>
      </c>
      <c r="E2620" s="0" t="inlineStr">
        <is>
          <t>IOWA HAVE MY HEART:113847C-L</t>
        </is>
      </c>
      <c r="F2620" s="2">
        <v>800113847062</v>
      </c>
      <c r="G2620" s="0" t="inlineStr">
        <is>
          <t>WOMENS</t>
        </is>
      </c>
      <c r="H2620" s="0" t="inlineStr">
        <is>
          <t>L</t>
        </is>
      </c>
      <c r="I2620" s="0">
        <v>29.99</v>
      </c>
      <c r="J2620" s="0">
        <v>33</v>
      </c>
    </row>
    <row r="2621" spans="1:10" customHeight="0">
      <c r="A2621" s="0">
        <f>HYPERLINK("https://dl.dropboxusercontent.com/scl/fi/d8ud3p8tm9nqp3twld4s7/iowa.jpg?rlkey=gqh2g720qgjo3n7o10reqzfps&amp;dl=0","Click to download Image")</f>
      </c>
      <c r="B2621" s="0">
        <f>HYPERLINK("https://dl.dropboxusercontent.com/scl/fi/e4awf2yk81vydkrp725wd/womens-t-shirt-size-chartsmarilynn-bamboo.jpg?rlkey=50tk09fw7jrr6eg6cec0tmn3u&amp;dl=0","Click to download SizeChart")</f>
      </c>
      <c r="C2621" s="0" t="inlineStr">
        <is>
          <t>"Have My Heart" Marilynn V-Neck</t>
        </is>
      </c>
      <c r="D2621" s="1">
        <v>113847</v>
      </c>
      <c r="E2621" s="0" t="inlineStr">
        <is>
          <t>IOWA HAVE MY HEART:113847D-XL</t>
        </is>
      </c>
      <c r="F2621" s="2">
        <v>800113847079</v>
      </c>
      <c r="G2621" s="0" t="inlineStr">
        <is>
          <t>WOMENS</t>
        </is>
      </c>
      <c r="H2621" s="0" t="inlineStr">
        <is>
          <t>XL</t>
        </is>
      </c>
      <c r="I2621" s="0">
        <v>29.99</v>
      </c>
      <c r="J2621" s="0">
        <v>39</v>
      </c>
    </row>
    <row r="2622" spans="1:10" customHeight="0">
      <c r="A2622" s="0">
        <f>HYPERLINK("https://dl.dropboxusercontent.com/scl/fi/d8ud3p8tm9nqp3twld4s7/iowa.jpg?rlkey=gqh2g720qgjo3n7o10reqzfps&amp;dl=0","Click to download Image")</f>
      </c>
      <c r="B2622" s="0">
        <f>HYPERLINK("https://dl.dropboxusercontent.com/scl/fi/e4awf2yk81vydkrp725wd/womens-t-shirt-size-chartsmarilynn-bamboo.jpg?rlkey=50tk09fw7jrr6eg6cec0tmn3u&amp;dl=0","Click to download SizeChart")</f>
      </c>
      <c r="C2622" s="0" t="inlineStr">
        <is>
          <t>"Have My Heart" Marilynn V-Neck</t>
        </is>
      </c>
      <c r="D2622" s="1">
        <v>113847</v>
      </c>
      <c r="E2622" s="0" t="inlineStr">
        <is>
          <t>IOWA HAVE MY HEART:113847E-2XL</t>
        </is>
      </c>
      <c r="F2622" s="2">
        <v>800113847086</v>
      </c>
      <c r="G2622" s="0" t="inlineStr">
        <is>
          <t>WOMENS</t>
        </is>
      </c>
      <c r="H2622" s="0" t="inlineStr">
        <is>
          <t>2XL</t>
        </is>
      </c>
      <c r="I2622" s="0">
        <v>29.99</v>
      </c>
      <c r="J2622" s="0">
        <v>0</v>
      </c>
    </row>
    <row r="2623" spans="1:10" customHeight="0">
      <c r="A2623" s="0">
        <f>HYPERLINK("https://dl.dropboxusercontent.com/scl/fi/d8ud3p8tm9nqp3twld4s7/iowa.jpg?rlkey=gqh2g720qgjo3n7o10reqzfps&amp;dl=0","Click to download Image")</f>
      </c>
      <c r="B2623" s="0">
        <f>HYPERLINK("https://dl.dropboxusercontent.com/scl/fi/e4awf2yk81vydkrp725wd/womens-t-shirt-size-chartsmarilynn-bamboo.jpg?rlkey=50tk09fw7jrr6eg6cec0tmn3u&amp;dl=0","Click to download SizeChart")</f>
      </c>
      <c r="C2623" s="0" t="inlineStr">
        <is>
          <t>"Have My Heart" Marilynn V-Neck</t>
        </is>
      </c>
      <c r="D2623" s="1">
        <v>113847</v>
      </c>
      <c r="E2623" s="0" t="inlineStr">
        <is>
          <t>IOWA HAVE MY HEART:113847F-3XL</t>
        </is>
      </c>
      <c r="F2623" s="2">
        <v>800113847093</v>
      </c>
      <c r="G2623" s="0" t="inlineStr">
        <is>
          <t>WOMENS</t>
        </is>
      </c>
      <c r="H2623" s="0" t="inlineStr">
        <is>
          <t>3XL</t>
        </is>
      </c>
      <c r="I2623" s="0">
        <v>29.99</v>
      </c>
      <c r="J2623" s="0">
        <v>0</v>
      </c>
    </row>
    <row r="2624" spans="1:10" customHeight="0">
      <c r="A2624" s="0">
        <f>HYPERLINK("https://dl.dropboxusercontent.com/scl/fi/g5iu6na4qfmxfh3zubhy5/heartiowa.jpg?rlkey=l4zgkvzyjydhjglnchkkzzjlo&amp;dl=0","Click to download Image")</f>
      </c>
      <c r="B2624" s="0">
        <f>HYPERLINK("https://dl.dropboxusercontent.com/scl/fi/ogvvoe64gygrrl8qzz8do/womens-t-shirt-size-chartsmarilynn-bamboo.jpg?rlkey=4rlehau9fcb2e87xqcs0xk6sk&amp;dl=0","Click to download SizeChart")</f>
      </c>
      <c r="C2624" s="0" t="inlineStr">
        <is>
          <t>"@ Heart" Marilynn V-Neck</t>
        </is>
      </c>
      <c r="D2624" s="1">
        <v>113844</v>
      </c>
      <c r="E2624" s="0" t="inlineStr">
        <is>
          <t>IOWA AT HEART MARILYNN:113844A-S</t>
        </is>
      </c>
      <c r="F2624" s="2">
        <v>800113844047</v>
      </c>
      <c r="G2624" s="0" t="inlineStr">
        <is>
          <t>WOMENS</t>
        </is>
      </c>
      <c r="H2624" s="0" t="inlineStr">
        <is>
          <t>S</t>
        </is>
      </c>
      <c r="I2624" s="0">
        <v>29.99</v>
      </c>
      <c r="J2624" s="0">
        <v>57</v>
      </c>
    </row>
    <row r="2625" spans="1:10" customHeight="0">
      <c r="A2625" s="0">
        <f>HYPERLINK("https://dl.dropboxusercontent.com/scl/fi/g5iu6na4qfmxfh3zubhy5/heartiowa.jpg?rlkey=l4zgkvzyjydhjglnchkkzzjlo&amp;dl=0","Click to download Image")</f>
      </c>
      <c r="B2625" s="0">
        <f>HYPERLINK("https://dl.dropboxusercontent.com/scl/fi/ogvvoe64gygrrl8qzz8do/womens-t-shirt-size-chartsmarilynn-bamboo.jpg?rlkey=4rlehau9fcb2e87xqcs0xk6sk&amp;dl=0","Click to download SizeChart")</f>
      </c>
      <c r="C2625" s="0" t="inlineStr">
        <is>
          <t>"@ Heart" Marilynn V-Neck</t>
        </is>
      </c>
      <c r="D2625" s="1">
        <v>113844</v>
      </c>
      <c r="E2625" s="0" t="inlineStr">
        <is>
          <t>IOWA AT HEART MARILYNN:113844B-M</t>
        </is>
      </c>
      <c r="F2625" s="2">
        <v>800113844054</v>
      </c>
      <c r="G2625" s="0" t="inlineStr">
        <is>
          <t>WOMENS</t>
        </is>
      </c>
      <c r="H2625" s="0" t="inlineStr">
        <is>
          <t>M</t>
        </is>
      </c>
      <c r="I2625" s="0">
        <v>29.99</v>
      </c>
      <c r="J2625" s="0">
        <v>49</v>
      </c>
    </row>
    <row r="2626" spans="1:10" customHeight="0">
      <c r="A2626" s="0">
        <f>HYPERLINK("https://dl.dropboxusercontent.com/scl/fi/g5iu6na4qfmxfh3zubhy5/heartiowa.jpg?rlkey=l4zgkvzyjydhjglnchkkzzjlo&amp;dl=0","Click to download Image")</f>
      </c>
      <c r="B2626" s="0">
        <f>HYPERLINK("https://dl.dropboxusercontent.com/scl/fi/ogvvoe64gygrrl8qzz8do/womens-t-shirt-size-chartsmarilynn-bamboo.jpg?rlkey=4rlehau9fcb2e87xqcs0xk6sk&amp;dl=0","Click to download SizeChart")</f>
      </c>
      <c r="C2626" s="0" t="inlineStr">
        <is>
          <t>"@ Heart" Marilynn V-Neck</t>
        </is>
      </c>
      <c r="D2626" s="1">
        <v>113844</v>
      </c>
      <c r="E2626" s="0" t="inlineStr">
        <is>
          <t>IOWA AT HEART MARILYNN:113844C-L</t>
        </is>
      </c>
      <c r="F2626" s="2">
        <v>800113844061</v>
      </c>
      <c r="G2626" s="0" t="inlineStr">
        <is>
          <t>WOMENS</t>
        </is>
      </c>
      <c r="H2626" s="0" t="inlineStr">
        <is>
          <t>L</t>
        </is>
      </c>
      <c r="I2626" s="0">
        <v>29.99</v>
      </c>
      <c r="J2626" s="0">
        <v>49</v>
      </c>
    </row>
    <row r="2627" spans="1:10" customHeight="0">
      <c r="A2627" s="0">
        <f>HYPERLINK("https://dl.dropboxusercontent.com/scl/fi/g5iu6na4qfmxfh3zubhy5/heartiowa.jpg?rlkey=l4zgkvzyjydhjglnchkkzzjlo&amp;dl=0","Click to download Image")</f>
      </c>
      <c r="B2627" s="0">
        <f>HYPERLINK("https://dl.dropboxusercontent.com/scl/fi/ogvvoe64gygrrl8qzz8do/womens-t-shirt-size-chartsmarilynn-bamboo.jpg?rlkey=4rlehau9fcb2e87xqcs0xk6sk&amp;dl=0","Click to download SizeChart")</f>
      </c>
      <c r="C2627" s="0" t="inlineStr">
        <is>
          <t>"@ Heart" Marilynn V-Neck</t>
        </is>
      </c>
      <c r="D2627" s="1">
        <v>113844</v>
      </c>
      <c r="E2627" s="0" t="inlineStr">
        <is>
          <t>IOWA AT HEART MARILYNN:113844D-XL</t>
        </is>
      </c>
      <c r="F2627" s="2">
        <v>800113844078</v>
      </c>
      <c r="G2627" s="0" t="inlineStr">
        <is>
          <t>WOMENS</t>
        </is>
      </c>
      <c r="H2627" s="0" t="inlineStr">
        <is>
          <t>XL</t>
        </is>
      </c>
      <c r="I2627" s="0">
        <v>29.99</v>
      </c>
      <c r="J2627" s="0">
        <v>48</v>
      </c>
    </row>
    <row r="2628" spans="1:10" customHeight="0">
      <c r="A2628" s="0">
        <f>HYPERLINK("https://dl.dropboxusercontent.com/scl/fi/g5iu6na4qfmxfh3zubhy5/heartiowa.jpg?rlkey=l4zgkvzyjydhjglnchkkzzjlo&amp;dl=0","Click to download Image")</f>
      </c>
      <c r="B2628" s="0">
        <f>HYPERLINK("https://dl.dropboxusercontent.com/scl/fi/ogvvoe64gygrrl8qzz8do/womens-t-shirt-size-chartsmarilynn-bamboo.jpg?rlkey=4rlehau9fcb2e87xqcs0xk6sk&amp;dl=0","Click to download SizeChart")</f>
      </c>
      <c r="C2628" s="0" t="inlineStr">
        <is>
          <t>"@ Heart" Marilynn V-Neck</t>
        </is>
      </c>
      <c r="D2628" s="1">
        <v>113844</v>
      </c>
      <c r="E2628" s="0" t="inlineStr">
        <is>
          <t>IOWA AT HEART MARILYNN:113844E-2XL</t>
        </is>
      </c>
      <c r="F2628" s="2">
        <v>800113844085</v>
      </c>
      <c r="G2628" s="0" t="inlineStr">
        <is>
          <t>WOMENS</t>
        </is>
      </c>
      <c r="H2628" s="0" t="inlineStr">
        <is>
          <t>2XL</t>
        </is>
      </c>
      <c r="I2628" s="0">
        <v>31.99</v>
      </c>
      <c r="J2628" s="0">
        <v>0</v>
      </c>
    </row>
    <row r="2629" spans="1:10" customHeight="0">
      <c r="A2629" s="0">
        <f>HYPERLINK("https://dl.dropboxusercontent.com/scl/fi/g5iu6na4qfmxfh3zubhy5/heartiowa.jpg?rlkey=l4zgkvzyjydhjglnchkkzzjlo&amp;dl=0","Click to download Image")</f>
      </c>
      <c r="B2629" s="0">
        <f>HYPERLINK("https://dl.dropboxusercontent.com/scl/fi/ogvvoe64gygrrl8qzz8do/womens-t-shirt-size-chartsmarilynn-bamboo.jpg?rlkey=4rlehau9fcb2e87xqcs0xk6sk&amp;dl=0","Click to download SizeChart")</f>
      </c>
      <c r="C2629" s="0" t="inlineStr">
        <is>
          <t>"@ Heart" Marilynn V-Neck</t>
        </is>
      </c>
      <c r="D2629" s="1">
        <v>113844</v>
      </c>
      <c r="E2629" s="0" t="inlineStr">
        <is>
          <t>IOWA AT HEART MARILYNN:113844F-3XL</t>
        </is>
      </c>
      <c r="F2629" s="2">
        <v>800113844092</v>
      </c>
      <c r="G2629" s="0" t="inlineStr">
        <is>
          <t>WOMENS</t>
        </is>
      </c>
      <c r="H2629" s="0" t="inlineStr">
        <is>
          <t>3XL</t>
        </is>
      </c>
      <c r="I2629" s="0">
        <v>31.99</v>
      </c>
      <c r="J2629" s="0">
        <v>0</v>
      </c>
    </row>
    <row r="2630" spans="1:10" customHeight="0">
      <c r="A2630" s="0">
        <f>HYPERLINK("https://dl.dropboxusercontent.com/scl/fi/epr486bzxva9pqg4lyv4r/105406f33597.jpg?rlkey=h2xs14l7v4tfjyxc986tkhstg&amp;dl=0","Click to download Image")</f>
      </c>
      <c r="C2630" s="0" t="inlineStr">
        <is>
          <t>Borne Men's French Terry Sweatshirt</t>
        </is>
      </c>
      <c r="D2630" s="1">
        <v>105406</v>
      </c>
      <c r="E2630" s="0" t="inlineStr">
        <is>
          <t>BORNE:105406A-S</t>
        </is>
      </c>
      <c r="G2630" s="0" t="inlineStr">
        <is>
          <t>MENS</t>
        </is>
      </c>
      <c r="H2630" s="0" t="inlineStr">
        <is>
          <t>S</t>
        </is>
      </c>
      <c r="I2630" s="0">
        <v>39.99</v>
      </c>
      <c r="J2630" s="0">
        <v>8</v>
      </c>
    </row>
    <row r="2631" spans="1:10" customHeight="0">
      <c r="A2631" s="0">
        <f>HYPERLINK("https://dl.dropboxusercontent.com/scl/fi/epr486bzxva9pqg4lyv4r/105406f33597.jpg?rlkey=h2xs14l7v4tfjyxc986tkhstg&amp;dl=0","Click to download Image")</f>
      </c>
      <c r="C2631" s="0" t="inlineStr">
        <is>
          <t>Borne Men's French Terry Sweatshirt</t>
        </is>
      </c>
      <c r="D2631" s="1">
        <v>105406</v>
      </c>
      <c r="E2631" s="0" t="inlineStr">
        <is>
          <t>BORNE:105406B-M</t>
        </is>
      </c>
      <c r="G2631" s="0" t="inlineStr">
        <is>
          <t>MENS</t>
        </is>
      </c>
      <c r="H2631" s="0" t="inlineStr">
        <is>
          <t>M</t>
        </is>
      </c>
      <c r="I2631" s="0">
        <v>39.99</v>
      </c>
      <c r="J2631" s="0">
        <v>16</v>
      </c>
    </row>
    <row r="2632" spans="1:10" customHeight="0">
      <c r="A2632" s="0">
        <f>HYPERLINK("https://dl.dropboxusercontent.com/scl/fi/epr486bzxva9pqg4lyv4r/105406f33597.jpg?rlkey=h2xs14l7v4tfjyxc986tkhstg&amp;dl=0","Click to download Image")</f>
      </c>
      <c r="C2632" s="0" t="inlineStr">
        <is>
          <t>Borne Men's French Terry Sweatshirt</t>
        </is>
      </c>
      <c r="D2632" s="1">
        <v>105406</v>
      </c>
      <c r="E2632" s="0" t="inlineStr">
        <is>
          <t>BORNE:105406F-3XL</t>
        </is>
      </c>
      <c r="G2632" s="0" t="inlineStr">
        <is>
          <t>MENS</t>
        </is>
      </c>
      <c r="H2632" s="0" t="inlineStr">
        <is>
          <t>3XL</t>
        </is>
      </c>
      <c r="I2632" s="0">
        <v>41.99</v>
      </c>
      <c r="J2632" s="0">
        <v>0</v>
      </c>
    </row>
    <row r="2633" spans="1:10" customHeight="0">
      <c r="A2633" s="0">
        <f>HYPERLINK("https://dl.dropboxusercontent.com/scl/fi/4djur4z5x7yszhwqu5j44/111141af33814.jpg?rlkey=7l4iijk60t2khpo4y981n0lm0&amp;dl=0","Click to download Image")</f>
      </c>
      <c r="C2633" s="0" t="inlineStr">
        <is>
          <t>Teagan Backpack Crossbody</t>
        </is>
      </c>
      <c r="D2633" s="1">
        <v>111141</v>
      </c>
      <c r="E2633" s="0" t="inlineStr">
        <is>
          <t>IOWA TEAGAN BP:111141</t>
        </is>
      </c>
      <c r="F2633" s="2">
        <v>900111141015</v>
      </c>
      <c r="I2633" s="0">
        <v>69.99</v>
      </c>
      <c r="J2633" s="0">
        <v>29</v>
      </c>
    </row>
    <row r="2634" spans="1:10" customHeight="0">
      <c r="A2634" s="0">
        <f>HYPERLINK("https://dl.dropboxusercontent.com/scl/fi/g41e08ugr92ucaoguoj6g/110950-af.jpg?rlkey=p3lq5ft3uskjziibf4efvug59&amp;dl=0","Click to download Image")</f>
      </c>
      <c r="B2634" s="0">
        <f>HYPERLINK("https://dl.dropboxusercontent.com/scl/fi/gy058vv7it1edlwxsi9mj/womens-size-chartskatherine.jpg?rlkey=iitq78rfn5z27100sxugxdos7&amp;dl=0","Click to download SizeChart")</f>
      </c>
      <c r="C2634" s="0" t="inlineStr">
        <is>
          <t>Katherine Women's Jacket</t>
        </is>
      </c>
      <c r="D2634" s="1">
        <v>110950</v>
      </c>
      <c r="E2634" s="0" t="inlineStr">
        <is>
          <t>IOWA KATHERINE BLACK:110950AA-XS</t>
        </is>
      </c>
      <c r="F2634" s="2">
        <v>800110950031</v>
      </c>
      <c r="G2634" s="0" t="inlineStr">
        <is>
          <t>WOMENS</t>
        </is>
      </c>
      <c r="H2634" s="0" t="inlineStr">
        <is>
          <t>XS</t>
        </is>
      </c>
      <c r="I2634" s="0">
        <v>149.99</v>
      </c>
      <c r="J2634" s="0">
        <v>19</v>
      </c>
    </row>
    <row r="2635" spans="1:10" customHeight="0">
      <c r="A2635" s="0">
        <f>HYPERLINK("https://dl.dropboxusercontent.com/scl/fi/g41e08ugr92ucaoguoj6g/110950-af.jpg?rlkey=p3lq5ft3uskjziibf4efvug59&amp;dl=0","Click to download Image")</f>
      </c>
      <c r="B2635" s="0">
        <f>HYPERLINK("https://dl.dropboxusercontent.com/scl/fi/gy058vv7it1edlwxsi9mj/womens-size-chartskatherine.jpg?rlkey=iitq78rfn5z27100sxugxdos7&amp;dl=0","Click to download SizeChart")</f>
      </c>
      <c r="C2635" s="0" t="inlineStr">
        <is>
          <t>Katherine Women's Jacket</t>
        </is>
      </c>
      <c r="D2635" s="1">
        <v>110950</v>
      </c>
      <c r="E2635" s="0" t="inlineStr">
        <is>
          <t>IOWA KATHERINE BLACK:110950A-S</t>
        </is>
      </c>
      <c r="F2635" s="2">
        <v>800110950048</v>
      </c>
      <c r="G2635" s="0" t="inlineStr">
        <is>
          <t>WOMENS</t>
        </is>
      </c>
      <c r="H2635" s="0" t="inlineStr">
        <is>
          <t>S</t>
        </is>
      </c>
      <c r="I2635" s="0">
        <v>149.99</v>
      </c>
      <c r="J2635" s="0">
        <v>21</v>
      </c>
    </row>
    <row r="2636" spans="1:10" customHeight="0">
      <c r="A2636" s="0">
        <f>HYPERLINK("https://dl.dropboxusercontent.com/scl/fi/g41e08ugr92ucaoguoj6g/110950-af.jpg?rlkey=p3lq5ft3uskjziibf4efvug59&amp;dl=0","Click to download Image")</f>
      </c>
      <c r="B2636" s="0">
        <f>HYPERLINK("https://dl.dropboxusercontent.com/scl/fi/gy058vv7it1edlwxsi9mj/womens-size-chartskatherine.jpg?rlkey=iitq78rfn5z27100sxugxdos7&amp;dl=0","Click to download SizeChart")</f>
      </c>
      <c r="C2636" s="0" t="inlineStr">
        <is>
          <t>Katherine Women's Jacket</t>
        </is>
      </c>
      <c r="D2636" s="1">
        <v>110950</v>
      </c>
      <c r="E2636" s="0" t="inlineStr">
        <is>
          <t>IOWA KATHERINE BLACK:110950B-M</t>
        </is>
      </c>
      <c r="F2636" s="2">
        <v>800110950055</v>
      </c>
      <c r="G2636" s="0" t="inlineStr">
        <is>
          <t>WOMENS</t>
        </is>
      </c>
      <c r="H2636" s="0" t="inlineStr">
        <is>
          <t>M</t>
        </is>
      </c>
      <c r="I2636" s="0">
        <v>149.99</v>
      </c>
      <c r="J2636" s="0">
        <v>13</v>
      </c>
    </row>
    <row r="2637" spans="1:10" customHeight="0">
      <c r="A2637" s="0">
        <f>HYPERLINK("https://dl.dropboxusercontent.com/scl/fi/g41e08ugr92ucaoguoj6g/110950-af.jpg?rlkey=p3lq5ft3uskjziibf4efvug59&amp;dl=0","Click to download Image")</f>
      </c>
      <c r="B2637" s="0">
        <f>HYPERLINK("https://dl.dropboxusercontent.com/scl/fi/gy058vv7it1edlwxsi9mj/womens-size-chartskatherine.jpg?rlkey=iitq78rfn5z27100sxugxdos7&amp;dl=0","Click to download SizeChart")</f>
      </c>
      <c r="C2637" s="0" t="inlineStr">
        <is>
          <t>Katherine Women's Jacket</t>
        </is>
      </c>
      <c r="D2637" s="1">
        <v>110950</v>
      </c>
      <c r="E2637" s="0" t="inlineStr">
        <is>
          <t>IOWA KATHERINE BLACK:110950C-L</t>
        </is>
      </c>
      <c r="F2637" s="2">
        <v>800110950062</v>
      </c>
      <c r="G2637" s="0" t="inlineStr">
        <is>
          <t>WOMENS</t>
        </is>
      </c>
      <c r="H2637" s="0" t="inlineStr">
        <is>
          <t>L</t>
        </is>
      </c>
      <c r="I2637" s="0">
        <v>149.99</v>
      </c>
      <c r="J2637" s="0">
        <v>4</v>
      </c>
    </row>
    <row r="2638" spans="1:10" customHeight="0">
      <c r="A2638" s="0">
        <f>HYPERLINK("https://dl.dropboxusercontent.com/scl/fi/g41e08ugr92ucaoguoj6g/110950-af.jpg?rlkey=p3lq5ft3uskjziibf4efvug59&amp;dl=0","Click to download Image")</f>
      </c>
      <c r="B2638" s="0">
        <f>HYPERLINK("https://dl.dropboxusercontent.com/scl/fi/gy058vv7it1edlwxsi9mj/womens-size-chartskatherine.jpg?rlkey=iitq78rfn5z27100sxugxdos7&amp;dl=0","Click to download SizeChart")</f>
      </c>
      <c r="C2638" s="0" t="inlineStr">
        <is>
          <t>Katherine Women's Jacket</t>
        </is>
      </c>
      <c r="D2638" s="1">
        <v>110950</v>
      </c>
      <c r="E2638" s="0" t="inlineStr">
        <is>
          <t>IOWA KATHERINE BLACK:110950D-XL</t>
        </is>
      </c>
      <c r="F2638" s="2">
        <v>800110950079</v>
      </c>
      <c r="G2638" s="0" t="inlineStr">
        <is>
          <t>WOMENS</t>
        </is>
      </c>
      <c r="H2638" s="0" t="inlineStr">
        <is>
          <t>XL</t>
        </is>
      </c>
      <c r="I2638" s="0">
        <v>149.99</v>
      </c>
      <c r="J2638" s="0">
        <v>13</v>
      </c>
    </row>
    <row r="2639" spans="1:10" customHeight="0">
      <c r="A2639" s="0">
        <f>HYPERLINK("https://dl.dropboxusercontent.com/scl/fi/g41e08ugr92ucaoguoj6g/110950-af.jpg?rlkey=p3lq5ft3uskjziibf4efvug59&amp;dl=0","Click to download Image")</f>
      </c>
      <c r="B2639" s="0">
        <f>HYPERLINK("https://dl.dropboxusercontent.com/scl/fi/gy058vv7it1edlwxsi9mj/womens-size-chartskatherine.jpg?rlkey=iitq78rfn5z27100sxugxdos7&amp;dl=0","Click to download SizeChart")</f>
      </c>
      <c r="C2639" s="0" t="inlineStr">
        <is>
          <t>Katherine Women's Jacket</t>
        </is>
      </c>
      <c r="D2639" s="1">
        <v>110950</v>
      </c>
      <c r="E2639" s="0" t="inlineStr">
        <is>
          <t>IOWA KATHERINE BLACK:110950E-2XL</t>
        </is>
      </c>
      <c r="F2639" s="2">
        <v>800110950086</v>
      </c>
      <c r="G2639" s="0" t="inlineStr">
        <is>
          <t>WOMENS</t>
        </is>
      </c>
      <c r="H2639" s="0" t="inlineStr">
        <is>
          <t>2XL</t>
        </is>
      </c>
      <c r="I2639" s="0">
        <v>151.99</v>
      </c>
      <c r="J2639" s="0">
        <v>2</v>
      </c>
    </row>
    <row r="2640" spans="1:10" customHeight="0">
      <c r="A2640" s="0">
        <f>HYPERLINK("https://dl.dropboxusercontent.com/scl/fi/g41e08ugr92ucaoguoj6g/110950-af.jpg?rlkey=p3lq5ft3uskjziibf4efvug59&amp;dl=0","Click to download Image")</f>
      </c>
      <c r="B2640" s="0">
        <f>HYPERLINK("https://dl.dropboxusercontent.com/scl/fi/gy058vv7it1edlwxsi9mj/womens-size-chartskatherine.jpg?rlkey=iitq78rfn5z27100sxugxdos7&amp;dl=0","Click to download SizeChart")</f>
      </c>
      <c r="C2640" s="0" t="inlineStr">
        <is>
          <t>Katherine Women's Jacket</t>
        </is>
      </c>
      <c r="D2640" s="1">
        <v>110950</v>
      </c>
      <c r="E2640" s="0" t="inlineStr">
        <is>
          <t>IOWA KATHERINE BLACK:110950F-3XL</t>
        </is>
      </c>
      <c r="F2640" s="2">
        <v>800110950093</v>
      </c>
      <c r="G2640" s="0" t="inlineStr">
        <is>
          <t>WOMENS</t>
        </is>
      </c>
      <c r="H2640" s="0" t="inlineStr">
        <is>
          <t>3XL</t>
        </is>
      </c>
      <c r="I2640" s="0">
        <v>151.99</v>
      </c>
      <c r="J2640" s="0">
        <v>3</v>
      </c>
    </row>
    <row r="2641" spans="1:10" customHeight="0">
      <c r="A2641" s="0">
        <f>HYPERLINK("https://dl.dropboxusercontent.com/scl/fi/dlp61zd2a1tyz7q627v9w/final-dsc3743-copy.jpg?rlkey=fip9tkli8olavvr9ssc3n0kow&amp;dl=0","Click to download Image")</f>
      </c>
      <c r="B2641" s="0">
        <f>HYPERLINK("https://dl.dropboxusercontent.com/scl/fi/e7bua4scymm197x6zzqma/8-19womens-fitted.jpg?rlkey=73nlt15s36tolq5x8dd8ul4in&amp;dl=0","Click to download SizeChart")</f>
      </c>
      <c r="C2641" s="0" t="inlineStr">
        <is>
          <t>Eliza Women's Off Shoulder Long Sleeve Shirt</t>
        </is>
      </c>
      <c r="D2641" s="1">
        <v>106783</v>
      </c>
      <c r="E2641" s="0" t="inlineStr">
        <is>
          <t>IA ELIZA:106783A-S</t>
        </is>
      </c>
      <c r="F2641" s="2">
        <v>800106783018</v>
      </c>
      <c r="G2641" s="0" t="inlineStr">
        <is>
          <t>WOMENS</t>
        </is>
      </c>
      <c r="H2641" s="0" t="inlineStr">
        <is>
          <t>S</t>
        </is>
      </c>
      <c r="I2641" s="0">
        <v>42.99</v>
      </c>
      <c r="J2641" s="0">
        <v>0</v>
      </c>
    </row>
    <row r="2642" spans="1:10" customHeight="0">
      <c r="A2642" s="0">
        <f>HYPERLINK("https://dl.dropboxusercontent.com/scl/fi/dlp61zd2a1tyz7q627v9w/final-dsc3743-copy.jpg?rlkey=fip9tkli8olavvr9ssc3n0kow&amp;dl=0","Click to download Image")</f>
      </c>
      <c r="B2642" s="0">
        <f>HYPERLINK("https://dl.dropboxusercontent.com/scl/fi/e7bua4scymm197x6zzqma/8-19womens-fitted.jpg?rlkey=73nlt15s36tolq5x8dd8ul4in&amp;dl=0","Click to download SizeChart")</f>
      </c>
      <c r="C2642" s="0" t="inlineStr">
        <is>
          <t>Eliza Women's Off Shoulder Long Sleeve Shirt</t>
        </is>
      </c>
      <c r="D2642" s="1">
        <v>106783</v>
      </c>
      <c r="E2642" s="0" t="inlineStr">
        <is>
          <t>IA ELIZA:106783B-M</t>
        </is>
      </c>
      <c r="F2642" s="2">
        <v>800106783025</v>
      </c>
      <c r="G2642" s="0" t="inlineStr">
        <is>
          <t>WOMENS</t>
        </is>
      </c>
      <c r="H2642" s="0" t="inlineStr">
        <is>
          <t>M</t>
        </is>
      </c>
      <c r="I2642" s="0">
        <v>42.99</v>
      </c>
      <c r="J2642" s="0">
        <v>23</v>
      </c>
    </row>
    <row r="2643" spans="1:10" customHeight="0">
      <c r="A2643" s="0">
        <f>HYPERLINK("https://dl.dropboxusercontent.com/scl/fi/dlp61zd2a1tyz7q627v9w/final-dsc3743-copy.jpg?rlkey=fip9tkli8olavvr9ssc3n0kow&amp;dl=0","Click to download Image")</f>
      </c>
      <c r="B2643" s="0">
        <f>HYPERLINK("https://dl.dropboxusercontent.com/scl/fi/e7bua4scymm197x6zzqma/8-19womens-fitted.jpg?rlkey=73nlt15s36tolq5x8dd8ul4in&amp;dl=0","Click to download SizeChart")</f>
      </c>
      <c r="C2643" s="0" t="inlineStr">
        <is>
          <t>Eliza Women's Off Shoulder Long Sleeve Shirt</t>
        </is>
      </c>
      <c r="D2643" s="1">
        <v>106783</v>
      </c>
      <c r="E2643" s="0" t="inlineStr">
        <is>
          <t>IA ELIZA:106783C-L</t>
        </is>
      </c>
      <c r="F2643" s="2">
        <v>800106783032</v>
      </c>
      <c r="G2643" s="0" t="inlineStr">
        <is>
          <t>WOMENS</t>
        </is>
      </c>
      <c r="H2643" s="0" t="inlineStr">
        <is>
          <t>L</t>
        </is>
      </c>
      <c r="I2643" s="0">
        <v>42.99</v>
      </c>
      <c r="J2643" s="0">
        <v>39</v>
      </c>
    </row>
    <row r="2644" spans="1:10" customHeight="0">
      <c r="A2644" s="0">
        <f>HYPERLINK("https://dl.dropboxusercontent.com/scl/fi/dlp61zd2a1tyz7q627v9w/final-dsc3743-copy.jpg?rlkey=fip9tkli8olavvr9ssc3n0kow&amp;dl=0","Click to download Image")</f>
      </c>
      <c r="B2644" s="0">
        <f>HYPERLINK("https://dl.dropboxusercontent.com/scl/fi/e7bua4scymm197x6zzqma/8-19womens-fitted.jpg?rlkey=73nlt15s36tolq5x8dd8ul4in&amp;dl=0","Click to download SizeChart")</f>
      </c>
      <c r="C2644" s="0" t="inlineStr">
        <is>
          <t>Eliza Women's Off Shoulder Long Sleeve Shirt</t>
        </is>
      </c>
      <c r="D2644" s="1">
        <v>106783</v>
      </c>
      <c r="E2644" s="0" t="inlineStr">
        <is>
          <t>IA ELIZA:106783D-XL</t>
        </is>
      </c>
      <c r="F2644" s="2">
        <v>800106783049</v>
      </c>
      <c r="G2644" s="0" t="inlineStr">
        <is>
          <t>WOMENS</t>
        </is>
      </c>
      <c r="H2644" s="0" t="inlineStr">
        <is>
          <t>XL</t>
        </is>
      </c>
      <c r="I2644" s="0">
        <v>42.99</v>
      </c>
      <c r="J2644" s="0">
        <v>10</v>
      </c>
    </row>
    <row r="2645" spans="1:10" customHeight="0">
      <c r="A2645" s="0">
        <f>HYPERLINK("https://dl.dropboxusercontent.com/scl/fi/dlp61zd2a1tyz7q627v9w/final-dsc3743-copy.jpg?rlkey=fip9tkli8olavvr9ssc3n0kow&amp;dl=0","Click to download Image")</f>
      </c>
      <c r="B2645" s="0">
        <f>HYPERLINK("https://dl.dropboxusercontent.com/scl/fi/e7bua4scymm197x6zzqma/8-19womens-fitted.jpg?rlkey=73nlt15s36tolq5x8dd8ul4in&amp;dl=0","Click to download SizeChart")</f>
      </c>
      <c r="C2645" s="0" t="inlineStr">
        <is>
          <t>Eliza Women's Off Shoulder Long Sleeve Shirt</t>
        </is>
      </c>
      <c r="D2645" s="1">
        <v>106783</v>
      </c>
      <c r="E2645" s="0" t="inlineStr">
        <is>
          <t>IA ELIZA:106783E-2XL</t>
        </is>
      </c>
      <c r="F2645" s="2">
        <v>800106783056</v>
      </c>
      <c r="G2645" s="0" t="inlineStr">
        <is>
          <t>WOMENS</t>
        </is>
      </c>
      <c r="H2645" s="0" t="inlineStr">
        <is>
          <t>2XL</t>
        </is>
      </c>
      <c r="I2645" s="0">
        <v>44.99</v>
      </c>
      <c r="J2645" s="0">
        <v>0</v>
      </c>
    </row>
    <row r="2646" spans="1:10" customHeight="0">
      <c r="A2646" s="0">
        <f>HYPERLINK("https://dl.dropboxusercontent.com/scl/fi/dlp61zd2a1tyz7q627v9w/final-dsc3743-copy.jpg?rlkey=fip9tkli8olavvr9ssc3n0kow&amp;dl=0","Click to download Image")</f>
      </c>
      <c r="B2646" s="0">
        <f>HYPERLINK("https://dl.dropboxusercontent.com/scl/fi/e7bua4scymm197x6zzqma/8-19womens-fitted.jpg?rlkey=73nlt15s36tolq5x8dd8ul4in&amp;dl=0","Click to download SizeChart")</f>
      </c>
      <c r="C2646" s="0" t="inlineStr">
        <is>
          <t>Eliza Women's Off Shoulder Long Sleeve Shirt</t>
        </is>
      </c>
      <c r="D2646" s="1">
        <v>106783</v>
      </c>
      <c r="E2646" s="0" t="inlineStr">
        <is>
          <t>IA ELIZA:106783F-3XL</t>
        </is>
      </c>
      <c r="F2646" s="2">
        <v>800106783063</v>
      </c>
      <c r="G2646" s="0" t="inlineStr">
        <is>
          <t>WOMENS</t>
        </is>
      </c>
      <c r="H2646" s="0" t="inlineStr">
        <is>
          <t>3XL</t>
        </is>
      </c>
      <c r="I2646" s="0">
        <v>44.99</v>
      </c>
      <c r="J2646" s="0">
        <v>9</v>
      </c>
    </row>
    <row r="2647" spans="1:10" customHeight="0">
      <c r="A2647" s="0">
        <f>HYPERLINK("https://dl.dropboxusercontent.com/scl/fi/ez3j0tch2dmh1ill3dwjq/113837af.jpg?rlkey=tq5kiihiwsn0yjo5olovbc40c&amp;dl=0","Click to download Image")</f>
      </c>
      <c r="C2647" s="0" t="inlineStr">
        <is>
          <t>Love Cotton Cap</t>
        </is>
      </c>
      <c r="D2647" s="1">
        <v>113837</v>
      </c>
      <c r="E2647" s="0" t="inlineStr">
        <is>
          <t>IOWA LOVE WHITE:113837</t>
        </is>
      </c>
      <c r="F2647" s="2">
        <v>700113837011</v>
      </c>
      <c r="G2647" s="0" t="inlineStr">
        <is>
          <t>WOMENS</t>
        </is>
      </c>
      <c r="I2647" s="0">
        <v>12.99</v>
      </c>
      <c r="J2647" s="0">
        <v>220</v>
      </c>
    </row>
    <row r="2648" spans="1:10" customHeight="0">
      <c r="A2648" s="0">
        <f>HYPERLINK("https://dl.dropboxusercontent.com/scl/fi/cfy090rmed4vxh93cq2jk/113827af.jpg?rlkey=msgb9phvjmdqy5gdp1wfmrsdv&amp;dl=0","Click to download Image")</f>
      </c>
      <c r="C2648" s="0" t="inlineStr">
        <is>
          <t>Love Knit Beanie</t>
        </is>
      </c>
      <c r="D2648" s="1">
        <v>113827</v>
      </c>
      <c r="E2648" s="0" t="inlineStr">
        <is>
          <t>IOWA LOVE BEANIE:113827</t>
        </is>
      </c>
      <c r="F2648" s="2">
        <v>700113827012</v>
      </c>
      <c r="G2648" s="0" t="inlineStr">
        <is>
          <t>WOMENS</t>
        </is>
      </c>
      <c r="I2648" s="0">
        <v>12.99</v>
      </c>
      <c r="J2648" s="0">
        <v>65</v>
      </c>
    </row>
    <row r="2649" spans="1:10" customHeight="0">
      <c r="A2649" s="0">
        <f>HYPERLINK("https://dl.dropboxusercontent.com/scl/fi/h0tk3fav6ez656fuk1gjs/113830f.jpg?rlkey=5muickh05uiyz2ot03n05vwex&amp;dl=0","Click to download Image")</f>
      </c>
      <c r="C2649" s="0" t="inlineStr">
        <is>
          <t>Cable Knit Heart Beanie</t>
        </is>
      </c>
      <c r="D2649" s="1">
        <v>113830</v>
      </c>
      <c r="E2649" s="0" t="inlineStr">
        <is>
          <t>IOWA HEART RED BEANIE:113830</t>
        </is>
      </c>
      <c r="F2649" s="2">
        <v>700113830012</v>
      </c>
      <c r="G2649" s="0" t="inlineStr">
        <is>
          <t>WOMENS</t>
        </is>
      </c>
      <c r="I2649" s="0">
        <v>12.99</v>
      </c>
      <c r="J2649" s="0">
        <v>230</v>
      </c>
    </row>
    <row r="2650" spans="1:10" customHeight="0">
      <c r="A2650" s="0">
        <f>HYPERLINK("https://dl.dropboxusercontent.com/scl/fi/m3q9pcmnljseteyz4swxg/667a4779-copy-3.jpg?rlkey=rjj9md3s96ywpjjb5iy16oysl&amp;dl=0","Click to download Image")</f>
      </c>
      <c r="B2650" s="0">
        <f>HYPERLINK("https://dl.dropboxusercontent.com/scl/fi/7s5vs5emdwac5vg57jzdk/8-19womens-fitted.jpg?rlkey=35dkzuc23dtadqtpec1u20pz9&amp;dl=0","Click to download SizeChart")</f>
      </c>
      <c r="C2650" s="0" t="inlineStr">
        <is>
          <t>Kristin Women's Performance Polo</t>
        </is>
      </c>
      <c r="D2650" s="1">
        <v>103984</v>
      </c>
      <c r="E2650" s="0" t="inlineStr">
        <is>
          <t>KRISTIN:103984A-S</t>
        </is>
      </c>
      <c r="G2650" s="0" t="inlineStr">
        <is>
          <t>WOMENS</t>
        </is>
      </c>
      <c r="H2650" s="0" t="inlineStr">
        <is>
          <t>S</t>
        </is>
      </c>
      <c r="I2650" s="0">
        <v>44.99</v>
      </c>
      <c r="J2650" s="0">
        <v>75</v>
      </c>
    </row>
    <row r="2651" spans="1:10" customHeight="0">
      <c r="A2651" s="0">
        <f>HYPERLINK("https://dl.dropboxusercontent.com/scl/fi/m3q9pcmnljseteyz4swxg/667a4779-copy-3.jpg?rlkey=rjj9md3s96ywpjjb5iy16oysl&amp;dl=0","Click to download Image")</f>
      </c>
      <c r="B2651" s="0">
        <f>HYPERLINK("https://dl.dropboxusercontent.com/scl/fi/7s5vs5emdwac5vg57jzdk/8-19womens-fitted.jpg?rlkey=35dkzuc23dtadqtpec1u20pz9&amp;dl=0","Click to download SizeChart")</f>
      </c>
      <c r="C2651" s="0" t="inlineStr">
        <is>
          <t>Kristin Women's Performance Polo</t>
        </is>
      </c>
      <c r="D2651" s="1">
        <v>103984</v>
      </c>
      <c r="E2651" s="0" t="inlineStr">
        <is>
          <t>KRISTIN:103984B-M</t>
        </is>
      </c>
      <c r="G2651" s="0" t="inlineStr">
        <is>
          <t>WOMENS</t>
        </is>
      </c>
      <c r="H2651" s="0" t="inlineStr">
        <is>
          <t>M</t>
        </is>
      </c>
      <c r="I2651" s="0">
        <v>44.99</v>
      </c>
      <c r="J2651" s="0">
        <v>94</v>
      </c>
    </row>
    <row r="2652" spans="1:10" customHeight="0">
      <c r="A2652" s="0">
        <f>HYPERLINK("https://dl.dropboxusercontent.com/scl/fi/m3q9pcmnljseteyz4swxg/667a4779-copy-3.jpg?rlkey=rjj9md3s96ywpjjb5iy16oysl&amp;dl=0","Click to download Image")</f>
      </c>
      <c r="B2652" s="0">
        <f>HYPERLINK("https://dl.dropboxusercontent.com/scl/fi/7s5vs5emdwac5vg57jzdk/8-19womens-fitted.jpg?rlkey=35dkzuc23dtadqtpec1u20pz9&amp;dl=0","Click to download SizeChart")</f>
      </c>
      <c r="C2652" s="0" t="inlineStr">
        <is>
          <t>Kristin Women's Performance Polo</t>
        </is>
      </c>
      <c r="D2652" s="1">
        <v>103984</v>
      </c>
      <c r="E2652" s="0" t="inlineStr">
        <is>
          <t>KRISTIN:103984C-L</t>
        </is>
      </c>
      <c r="G2652" s="0" t="inlineStr">
        <is>
          <t>WOMENS</t>
        </is>
      </c>
      <c r="H2652" s="0" t="inlineStr">
        <is>
          <t>L</t>
        </is>
      </c>
      <c r="I2652" s="0">
        <v>44.99</v>
      </c>
      <c r="J2652" s="0">
        <v>105</v>
      </c>
    </row>
    <row r="2653" spans="1:10" customHeight="0">
      <c r="A2653" s="0">
        <f>HYPERLINK("https://dl.dropboxusercontent.com/scl/fi/m3q9pcmnljseteyz4swxg/667a4779-copy-3.jpg?rlkey=rjj9md3s96ywpjjb5iy16oysl&amp;dl=0","Click to download Image")</f>
      </c>
      <c r="B2653" s="0">
        <f>HYPERLINK("https://dl.dropboxusercontent.com/scl/fi/7s5vs5emdwac5vg57jzdk/8-19womens-fitted.jpg?rlkey=35dkzuc23dtadqtpec1u20pz9&amp;dl=0","Click to download SizeChart")</f>
      </c>
      <c r="C2653" s="0" t="inlineStr">
        <is>
          <t>Kristin Women's Performance Polo</t>
        </is>
      </c>
      <c r="D2653" s="1">
        <v>103984</v>
      </c>
      <c r="E2653" s="0" t="inlineStr">
        <is>
          <t>KRISTIN:103984D-XL</t>
        </is>
      </c>
      <c r="G2653" s="0" t="inlineStr">
        <is>
          <t>WOMENS</t>
        </is>
      </c>
      <c r="H2653" s="0" t="inlineStr">
        <is>
          <t>XL</t>
        </is>
      </c>
      <c r="I2653" s="0">
        <v>44.99</v>
      </c>
      <c r="J2653" s="0">
        <v>106</v>
      </c>
    </row>
    <row r="2654" spans="1:10" customHeight="0">
      <c r="A2654" s="0">
        <f>HYPERLINK("https://dl.dropboxusercontent.com/scl/fi/m3q9pcmnljseteyz4swxg/667a4779-copy-3.jpg?rlkey=rjj9md3s96ywpjjb5iy16oysl&amp;dl=0","Click to download Image")</f>
      </c>
      <c r="B2654" s="0">
        <f>HYPERLINK("https://dl.dropboxusercontent.com/scl/fi/7s5vs5emdwac5vg57jzdk/8-19womens-fitted.jpg?rlkey=35dkzuc23dtadqtpec1u20pz9&amp;dl=0","Click to download SizeChart")</f>
      </c>
      <c r="C2654" s="0" t="inlineStr">
        <is>
          <t>Kristin Women's Performance Polo</t>
        </is>
      </c>
      <c r="D2654" s="1">
        <v>103984</v>
      </c>
      <c r="E2654" s="0" t="inlineStr">
        <is>
          <t>KRISTIN:103984E-2XL</t>
        </is>
      </c>
      <c r="G2654" s="0" t="inlineStr">
        <is>
          <t>WOMENS</t>
        </is>
      </c>
      <c r="H2654" s="0" t="inlineStr">
        <is>
          <t>2XL</t>
        </is>
      </c>
      <c r="I2654" s="0">
        <v>46.99</v>
      </c>
      <c r="J2654" s="0">
        <v>80</v>
      </c>
    </row>
    <row r="2655" spans="1:10" customHeight="0">
      <c r="A2655" s="0">
        <f>HYPERLINK("https://dl.dropboxusercontent.com/scl/fi/m3q9pcmnljseteyz4swxg/667a4779-copy-3.jpg?rlkey=rjj9md3s96ywpjjb5iy16oysl&amp;dl=0","Click to download Image")</f>
      </c>
      <c r="B2655" s="0">
        <f>HYPERLINK("https://dl.dropboxusercontent.com/scl/fi/7s5vs5emdwac5vg57jzdk/8-19womens-fitted.jpg?rlkey=35dkzuc23dtadqtpec1u20pz9&amp;dl=0","Click to download SizeChart")</f>
      </c>
      <c r="C2655" s="0" t="inlineStr">
        <is>
          <t>Kristin Women's Performance Polo</t>
        </is>
      </c>
      <c r="D2655" s="1">
        <v>103984</v>
      </c>
      <c r="E2655" s="0" t="inlineStr">
        <is>
          <t>KRISTIN:103984F-3XL</t>
        </is>
      </c>
      <c r="G2655" s="0" t="inlineStr">
        <is>
          <t>WOMENS</t>
        </is>
      </c>
      <c r="H2655" s="0" t="inlineStr">
        <is>
          <t>3XL</t>
        </is>
      </c>
      <c r="I2655" s="0">
        <v>46.99</v>
      </c>
      <c r="J2655" s="0">
        <v>19</v>
      </c>
    </row>
    <row r="2656" spans="1:10" customHeight="0">
      <c r="A2656" s="0">
        <f>HYPERLINK("https://dl.dropboxusercontent.com/scl/fi/buj9iw2smtu3lnuxp2qnt/suits223829.jpg?rlkey=uxvqcbwb18bilghm6iatjb2du&amp;dl=0","Click to download Image")</f>
      </c>
      <c r="B2656" s="0">
        <f>HYPERLINK("https://dl.dropboxusercontent.com/scl/fi/gw5qpb151rfkoclg0q0l0/womens-bodysuit-size-chartsrosa.jpg?rlkey=bizl73nmdlfep2s4tqfmc317x&amp;dl=0","Click to download SizeChart")</f>
      </c>
      <c r="C2656" s="0" t="inlineStr">
        <is>
          <t>Rosa Women's Bodysuit</t>
        </is>
      </c>
      <c r="D2656" s="1">
        <v>111377</v>
      </c>
      <c r="E2656" s="0" t="inlineStr">
        <is>
          <t>IOWA ROSA WHITE:111377AA-XS</t>
        </is>
      </c>
      <c r="F2656" s="2">
        <v>800111377035</v>
      </c>
      <c r="G2656" s="0" t="inlineStr">
        <is>
          <t>WOMENS</t>
        </is>
      </c>
      <c r="H2656" s="0" t="inlineStr">
        <is>
          <t>XS</t>
        </is>
      </c>
      <c r="I2656" s="0">
        <v>44.99</v>
      </c>
      <c r="J2656" s="0">
        <v>21</v>
      </c>
    </row>
    <row r="2657" spans="1:10" customHeight="0">
      <c r="A2657" s="0">
        <f>HYPERLINK("https://dl.dropboxusercontent.com/scl/fi/buj9iw2smtu3lnuxp2qnt/suits223829.jpg?rlkey=uxvqcbwb18bilghm6iatjb2du&amp;dl=0","Click to download Image")</f>
      </c>
      <c r="B2657" s="0">
        <f>HYPERLINK("https://dl.dropboxusercontent.com/scl/fi/gw5qpb151rfkoclg0q0l0/womens-bodysuit-size-chartsrosa.jpg?rlkey=bizl73nmdlfep2s4tqfmc317x&amp;dl=0","Click to download SizeChart")</f>
      </c>
      <c r="C2657" s="0" t="inlineStr">
        <is>
          <t>Rosa Women's Bodysuit</t>
        </is>
      </c>
      <c r="D2657" s="1">
        <v>111377</v>
      </c>
      <c r="E2657" s="0" t="inlineStr">
        <is>
          <t>IOWA ROSA WHITE:111377A-S</t>
        </is>
      </c>
      <c r="F2657" s="2">
        <v>800111377042</v>
      </c>
      <c r="G2657" s="0" t="inlineStr">
        <is>
          <t>WOMENS</t>
        </is>
      </c>
      <c r="H2657" s="0" t="inlineStr">
        <is>
          <t>S</t>
        </is>
      </c>
      <c r="I2657" s="0">
        <v>44.99</v>
      </c>
      <c r="J2657" s="0">
        <v>33</v>
      </c>
    </row>
    <row r="2658" spans="1:10" customHeight="0">
      <c r="A2658" s="0">
        <f>HYPERLINK("https://dl.dropboxusercontent.com/scl/fi/buj9iw2smtu3lnuxp2qnt/suits223829.jpg?rlkey=uxvqcbwb18bilghm6iatjb2du&amp;dl=0","Click to download Image")</f>
      </c>
      <c r="B2658" s="0">
        <f>HYPERLINK("https://dl.dropboxusercontent.com/scl/fi/gw5qpb151rfkoclg0q0l0/womens-bodysuit-size-chartsrosa.jpg?rlkey=bizl73nmdlfep2s4tqfmc317x&amp;dl=0","Click to download SizeChart")</f>
      </c>
      <c r="C2658" s="0" t="inlineStr">
        <is>
          <t>Rosa Women's Bodysuit</t>
        </is>
      </c>
      <c r="D2658" s="1">
        <v>111377</v>
      </c>
      <c r="E2658" s="0" t="inlineStr">
        <is>
          <t>IOWA ROSA WHITE:111377B-M</t>
        </is>
      </c>
      <c r="F2658" s="2">
        <v>800111377059</v>
      </c>
      <c r="G2658" s="0" t="inlineStr">
        <is>
          <t>WOMENS</t>
        </is>
      </c>
      <c r="H2658" s="0" t="inlineStr">
        <is>
          <t>M</t>
        </is>
      </c>
      <c r="I2658" s="0">
        <v>44.99</v>
      </c>
      <c r="J2658" s="0">
        <v>38</v>
      </c>
    </row>
    <row r="2659" spans="1:10" customHeight="0">
      <c r="A2659" s="0">
        <f>HYPERLINK("https://dl.dropboxusercontent.com/scl/fi/buj9iw2smtu3lnuxp2qnt/suits223829.jpg?rlkey=uxvqcbwb18bilghm6iatjb2du&amp;dl=0","Click to download Image")</f>
      </c>
      <c r="B2659" s="0">
        <f>HYPERLINK("https://dl.dropboxusercontent.com/scl/fi/gw5qpb151rfkoclg0q0l0/womens-bodysuit-size-chartsrosa.jpg?rlkey=bizl73nmdlfep2s4tqfmc317x&amp;dl=0","Click to download SizeChart")</f>
      </c>
      <c r="C2659" s="0" t="inlineStr">
        <is>
          <t>Rosa Women's Bodysuit</t>
        </is>
      </c>
      <c r="D2659" s="1">
        <v>111377</v>
      </c>
      <c r="E2659" s="0" t="inlineStr">
        <is>
          <t>IOWA ROSA WHITE:111377C-L</t>
        </is>
      </c>
      <c r="F2659" s="2">
        <v>800111377066</v>
      </c>
      <c r="G2659" s="0" t="inlineStr">
        <is>
          <t>WOMENS</t>
        </is>
      </c>
      <c r="H2659" s="0" t="inlineStr">
        <is>
          <t>L</t>
        </is>
      </c>
      <c r="I2659" s="0">
        <v>44.99</v>
      </c>
      <c r="J2659" s="0">
        <v>27</v>
      </c>
    </row>
    <row r="2660" spans="1:10" customHeight="0">
      <c r="A2660" s="0">
        <f>HYPERLINK("https://dl.dropboxusercontent.com/scl/fi/buj9iw2smtu3lnuxp2qnt/suits223829.jpg?rlkey=uxvqcbwb18bilghm6iatjb2du&amp;dl=0","Click to download Image")</f>
      </c>
      <c r="B2660" s="0">
        <f>HYPERLINK("https://dl.dropboxusercontent.com/scl/fi/gw5qpb151rfkoclg0q0l0/womens-bodysuit-size-chartsrosa.jpg?rlkey=bizl73nmdlfep2s4tqfmc317x&amp;dl=0","Click to download SizeChart")</f>
      </c>
      <c r="C2660" s="0" t="inlineStr">
        <is>
          <t>Rosa Women's Bodysuit</t>
        </is>
      </c>
      <c r="D2660" s="1">
        <v>111377</v>
      </c>
      <c r="E2660" s="0" t="inlineStr">
        <is>
          <t>IOWA ROSA WHITE:111377D-XL</t>
        </is>
      </c>
      <c r="F2660" s="2">
        <v>800111377073</v>
      </c>
      <c r="G2660" s="0" t="inlineStr">
        <is>
          <t>WOMENS</t>
        </is>
      </c>
      <c r="H2660" s="0" t="inlineStr">
        <is>
          <t>XL</t>
        </is>
      </c>
      <c r="I2660" s="0">
        <v>44.99</v>
      </c>
      <c r="J2660" s="0">
        <v>23</v>
      </c>
    </row>
    <row r="2661" spans="1:10" customHeight="0">
      <c r="A2661" s="0">
        <f>HYPERLINK("https://dl.dropboxusercontent.com/scl/fi/buj9iw2smtu3lnuxp2qnt/suits223829.jpg?rlkey=uxvqcbwb18bilghm6iatjb2du&amp;dl=0","Click to download Image")</f>
      </c>
      <c r="B2661" s="0">
        <f>HYPERLINK("https://dl.dropboxusercontent.com/scl/fi/gw5qpb151rfkoclg0q0l0/womens-bodysuit-size-chartsrosa.jpg?rlkey=bizl73nmdlfep2s4tqfmc317x&amp;dl=0","Click to download SizeChart")</f>
      </c>
      <c r="C2661" s="0" t="inlineStr">
        <is>
          <t>Rosa Women's Bodysuit</t>
        </is>
      </c>
      <c r="D2661" s="1">
        <v>111377</v>
      </c>
      <c r="E2661" s="0" t="inlineStr">
        <is>
          <t>IOWA ROSA WHITE:111377E-2XL</t>
        </is>
      </c>
      <c r="F2661" s="2">
        <v>800111377080</v>
      </c>
      <c r="G2661" s="0" t="inlineStr">
        <is>
          <t>WOMENS</t>
        </is>
      </c>
      <c r="H2661" s="0" t="inlineStr">
        <is>
          <t>2XL</t>
        </is>
      </c>
      <c r="I2661" s="0">
        <v>46.99</v>
      </c>
      <c r="J2661" s="0">
        <v>12</v>
      </c>
    </row>
    <row r="2662" spans="1:10" customHeight="0">
      <c r="A2662" s="0">
        <f>HYPERLINK("https://dl.dropboxusercontent.com/scl/fi/buj9iw2smtu3lnuxp2qnt/suits223829.jpg?rlkey=uxvqcbwb18bilghm6iatjb2du&amp;dl=0","Click to download Image")</f>
      </c>
      <c r="B2662" s="0">
        <f>HYPERLINK("https://dl.dropboxusercontent.com/scl/fi/gw5qpb151rfkoclg0q0l0/womens-bodysuit-size-chartsrosa.jpg?rlkey=bizl73nmdlfep2s4tqfmc317x&amp;dl=0","Click to download SizeChart")</f>
      </c>
      <c r="C2662" s="0" t="inlineStr">
        <is>
          <t>Rosa Women's Bodysuit</t>
        </is>
      </c>
      <c r="D2662" s="1">
        <v>111377</v>
      </c>
      <c r="E2662" s="0" t="inlineStr">
        <is>
          <t>IOWA ROSA WHITE:111377F-3XL</t>
        </is>
      </c>
      <c r="F2662" s="2">
        <v>800111377097</v>
      </c>
      <c r="G2662" s="0" t="inlineStr">
        <is>
          <t>WOMENS</t>
        </is>
      </c>
      <c r="H2662" s="0" t="inlineStr">
        <is>
          <t>3XL</t>
        </is>
      </c>
      <c r="I2662" s="0">
        <v>46.99</v>
      </c>
      <c r="J2662" s="0">
        <v>12</v>
      </c>
    </row>
    <row r="2663" spans="1:10" customHeight="0">
      <c r="A2663" s="0">
        <f>HYPERLINK("https://dl.dropboxusercontent.com/scl/fi/buj9iw2smtu3lnuxp2qnt/suits223829.jpg?rlkey=uxvqcbwb18bilghm6iatjb2du&amp;dl=0","Click to download Image")</f>
      </c>
      <c r="B2663" s="0">
        <f>HYPERLINK("https://dl.dropboxusercontent.com/scl/fi/gw5qpb151rfkoclg0q0l0/womens-bodysuit-size-chartsrosa.jpg?rlkey=bizl73nmdlfep2s4tqfmc317x&amp;dl=0","Click to download SizeChart")</f>
      </c>
      <c r="C2663" s="0" t="inlineStr">
        <is>
          <t>Rosa Women's Bodysuit</t>
        </is>
      </c>
      <c r="D2663" s="1">
        <v>111377</v>
      </c>
      <c r="E2663" s="0" t="inlineStr">
        <is>
          <t>IOWA ROSA WHITE 12 PACK:111377Z-12PK</t>
        </is>
      </c>
      <c r="F2663" s="2">
        <v>800111377998</v>
      </c>
      <c r="G2663" s="0" t="inlineStr">
        <is>
          <t>WOMENS</t>
        </is>
      </c>
      <c r="H2663" s="0" t="inlineStr">
        <is>
          <t>12 PACK</t>
        </is>
      </c>
      <c r="I2663" s="0">
        <v>587.4</v>
      </c>
      <c r="J2663" s="0">
        <v>0</v>
      </c>
    </row>
    <row r="2664" spans="1:10" customHeight="0">
      <c r="A2664" s="0">
        <f>HYPERLINK("https://dl.dropboxusercontent.com/scl/fi/n83mlpuantdtwwznf24bh/img1021bc.jpg?rlkey=94kt73at6q67kvxldmadyanks&amp;dl=0","Click to download Image")</f>
      </c>
      <c r="B2664" s="0">
        <f>HYPERLINK("https://dl.dropboxusercontent.com/scl/fi/gw5qpb151rfkoclg0q0l0/womens-bodysuit-size-chartsrosa.jpg?rlkey=bizl73nmdlfep2s4tqfmc317x&amp;dl=0","Click to download SizeChart")</f>
      </c>
      <c r="C2664" s="0" t="inlineStr">
        <is>
          <t>Rosa Women's Bodysuit</t>
        </is>
      </c>
      <c r="D2664" s="1">
        <v>110811</v>
      </c>
      <c r="E2664" s="0" t="inlineStr">
        <is>
          <t>IOWA ROSA BLACK:110811AA-XS</t>
        </is>
      </c>
      <c r="F2664" s="2">
        <v>800110811035</v>
      </c>
      <c r="G2664" s="0" t="inlineStr">
        <is>
          <t>WOMENS</t>
        </is>
      </c>
      <c r="H2664" s="0" t="inlineStr">
        <is>
          <t>XS</t>
        </is>
      </c>
      <c r="I2664" s="0">
        <v>44.99</v>
      </c>
      <c r="J2664" s="0">
        <v>39</v>
      </c>
    </row>
    <row r="2665" spans="1:10" customHeight="0">
      <c r="A2665" s="0">
        <f>HYPERLINK("https://dl.dropboxusercontent.com/scl/fi/n83mlpuantdtwwznf24bh/img1021bc.jpg?rlkey=94kt73at6q67kvxldmadyanks&amp;dl=0","Click to download Image")</f>
      </c>
      <c r="B2665" s="0">
        <f>HYPERLINK("https://dl.dropboxusercontent.com/scl/fi/gw5qpb151rfkoclg0q0l0/womens-bodysuit-size-chartsrosa.jpg?rlkey=bizl73nmdlfep2s4tqfmc317x&amp;dl=0","Click to download SizeChart")</f>
      </c>
      <c r="C2665" s="0" t="inlineStr">
        <is>
          <t>Rosa Women's Bodysuit</t>
        </is>
      </c>
      <c r="D2665" s="1">
        <v>110811</v>
      </c>
      <c r="E2665" s="0" t="inlineStr">
        <is>
          <t>IOWA ROSA BLACK:110811A-S</t>
        </is>
      </c>
      <c r="F2665" s="2">
        <v>800110811042</v>
      </c>
      <c r="G2665" s="0" t="inlineStr">
        <is>
          <t>WOMENS</t>
        </is>
      </c>
      <c r="H2665" s="0" t="inlineStr">
        <is>
          <t>S</t>
        </is>
      </c>
      <c r="I2665" s="0">
        <v>44.99</v>
      </c>
      <c r="J2665" s="0">
        <v>51</v>
      </c>
    </row>
    <row r="2666" spans="1:10" customHeight="0">
      <c r="A2666" s="0">
        <f>HYPERLINK("https://dl.dropboxusercontent.com/scl/fi/n83mlpuantdtwwznf24bh/img1021bc.jpg?rlkey=94kt73at6q67kvxldmadyanks&amp;dl=0","Click to download Image")</f>
      </c>
      <c r="B2666" s="0">
        <f>HYPERLINK("https://dl.dropboxusercontent.com/scl/fi/gw5qpb151rfkoclg0q0l0/womens-bodysuit-size-chartsrosa.jpg?rlkey=bizl73nmdlfep2s4tqfmc317x&amp;dl=0","Click to download SizeChart")</f>
      </c>
      <c r="C2666" s="0" t="inlineStr">
        <is>
          <t>Rosa Women's Bodysuit</t>
        </is>
      </c>
      <c r="D2666" s="1">
        <v>110811</v>
      </c>
      <c r="E2666" s="0" t="inlineStr">
        <is>
          <t>IOWA ROSA BLACK:110811B-M</t>
        </is>
      </c>
      <c r="F2666" s="2">
        <v>800110811059</v>
      </c>
      <c r="G2666" s="0" t="inlineStr">
        <is>
          <t>WOMENS</t>
        </is>
      </c>
      <c r="H2666" s="0" t="inlineStr">
        <is>
          <t>M</t>
        </is>
      </c>
      <c r="I2666" s="0">
        <v>44.99</v>
      </c>
      <c r="J2666" s="0">
        <v>57</v>
      </c>
    </row>
    <row r="2667" spans="1:10" customHeight="0">
      <c r="A2667" s="0">
        <f>HYPERLINK("https://dl.dropboxusercontent.com/scl/fi/n83mlpuantdtwwznf24bh/img1021bc.jpg?rlkey=94kt73at6q67kvxldmadyanks&amp;dl=0","Click to download Image")</f>
      </c>
      <c r="B2667" s="0">
        <f>HYPERLINK("https://dl.dropboxusercontent.com/scl/fi/gw5qpb151rfkoclg0q0l0/womens-bodysuit-size-chartsrosa.jpg?rlkey=bizl73nmdlfep2s4tqfmc317x&amp;dl=0","Click to download SizeChart")</f>
      </c>
      <c r="C2667" s="0" t="inlineStr">
        <is>
          <t>Rosa Women's Bodysuit</t>
        </is>
      </c>
      <c r="D2667" s="1">
        <v>110811</v>
      </c>
      <c r="E2667" s="0" t="inlineStr">
        <is>
          <t>IOWA ROSA BLACK:110811C-L</t>
        </is>
      </c>
      <c r="F2667" s="2">
        <v>800110811066</v>
      </c>
      <c r="G2667" s="0" t="inlineStr">
        <is>
          <t>WOMENS</t>
        </is>
      </c>
      <c r="H2667" s="0" t="inlineStr">
        <is>
          <t>L</t>
        </is>
      </c>
      <c r="I2667" s="0">
        <v>44.99</v>
      </c>
      <c r="J2667" s="0">
        <v>37</v>
      </c>
    </row>
    <row r="2668" spans="1:10" customHeight="0">
      <c r="A2668" s="0">
        <f>HYPERLINK("https://dl.dropboxusercontent.com/scl/fi/n83mlpuantdtwwznf24bh/img1021bc.jpg?rlkey=94kt73at6q67kvxldmadyanks&amp;dl=0","Click to download Image")</f>
      </c>
      <c r="B2668" s="0">
        <f>HYPERLINK("https://dl.dropboxusercontent.com/scl/fi/gw5qpb151rfkoclg0q0l0/womens-bodysuit-size-chartsrosa.jpg?rlkey=bizl73nmdlfep2s4tqfmc317x&amp;dl=0","Click to download SizeChart")</f>
      </c>
      <c r="C2668" s="0" t="inlineStr">
        <is>
          <t>Rosa Women's Bodysuit</t>
        </is>
      </c>
      <c r="D2668" s="1">
        <v>110811</v>
      </c>
      <c r="E2668" s="0" t="inlineStr">
        <is>
          <t>IOWA ROSA BLACK:110811D-XL</t>
        </is>
      </c>
      <c r="F2668" s="2">
        <v>800110811073</v>
      </c>
      <c r="G2668" s="0" t="inlineStr">
        <is>
          <t>WOMENS</t>
        </is>
      </c>
      <c r="H2668" s="0" t="inlineStr">
        <is>
          <t>XL</t>
        </is>
      </c>
      <c r="I2668" s="0">
        <v>44.99</v>
      </c>
      <c r="J2668" s="0">
        <v>39</v>
      </c>
    </row>
    <row r="2669" spans="1:10" customHeight="0">
      <c r="A2669" s="0">
        <f>HYPERLINK("https://dl.dropboxusercontent.com/scl/fi/n83mlpuantdtwwznf24bh/img1021bc.jpg?rlkey=94kt73at6q67kvxldmadyanks&amp;dl=0","Click to download Image")</f>
      </c>
      <c r="B2669" s="0">
        <f>HYPERLINK("https://dl.dropboxusercontent.com/scl/fi/gw5qpb151rfkoclg0q0l0/womens-bodysuit-size-chartsrosa.jpg?rlkey=bizl73nmdlfep2s4tqfmc317x&amp;dl=0","Click to download SizeChart")</f>
      </c>
      <c r="C2669" s="0" t="inlineStr">
        <is>
          <t>Rosa Women's Bodysuit</t>
        </is>
      </c>
      <c r="D2669" s="1">
        <v>110811</v>
      </c>
      <c r="E2669" s="0" t="inlineStr">
        <is>
          <t>IOWA ROSA BLACK:110811E-2XL</t>
        </is>
      </c>
      <c r="F2669" s="2">
        <v>800110811080</v>
      </c>
      <c r="G2669" s="0" t="inlineStr">
        <is>
          <t>WOMENS</t>
        </is>
      </c>
      <c r="H2669" s="0" t="inlineStr">
        <is>
          <t>2XL</t>
        </is>
      </c>
      <c r="I2669" s="0">
        <v>46.99</v>
      </c>
      <c r="J2669" s="0">
        <v>23</v>
      </c>
    </row>
    <row r="2670" spans="1:10" customHeight="0">
      <c r="A2670" s="0">
        <f>HYPERLINK("https://dl.dropboxusercontent.com/scl/fi/n83mlpuantdtwwznf24bh/img1021bc.jpg?rlkey=94kt73at6q67kvxldmadyanks&amp;dl=0","Click to download Image")</f>
      </c>
      <c r="B2670" s="0">
        <f>HYPERLINK("https://dl.dropboxusercontent.com/scl/fi/gw5qpb151rfkoclg0q0l0/womens-bodysuit-size-chartsrosa.jpg?rlkey=bizl73nmdlfep2s4tqfmc317x&amp;dl=0","Click to download SizeChart")</f>
      </c>
      <c r="C2670" s="0" t="inlineStr">
        <is>
          <t>Rosa Women's Bodysuit</t>
        </is>
      </c>
      <c r="D2670" s="1">
        <v>110811</v>
      </c>
      <c r="E2670" s="0" t="inlineStr">
        <is>
          <t>IOWA ROSA BLACK:110811F-3XL</t>
        </is>
      </c>
      <c r="F2670" s="2">
        <v>800110811097</v>
      </c>
      <c r="G2670" s="0" t="inlineStr">
        <is>
          <t>WOMENS</t>
        </is>
      </c>
      <c r="H2670" s="0" t="inlineStr">
        <is>
          <t>3XL</t>
        </is>
      </c>
      <c r="I2670" s="0">
        <v>46.99</v>
      </c>
      <c r="J2670" s="0">
        <v>24</v>
      </c>
    </row>
    <row r="2671" spans="1:10" customHeight="0">
      <c r="A2671" s="0">
        <f>HYPERLINK("https://dl.dropboxusercontent.com/scl/fi/n83mlpuantdtwwznf24bh/img1021bc.jpg?rlkey=94kt73at6q67kvxldmadyanks&amp;dl=0","Click to download Image")</f>
      </c>
      <c r="B2671" s="0">
        <f>HYPERLINK("https://dl.dropboxusercontent.com/scl/fi/gw5qpb151rfkoclg0q0l0/womens-bodysuit-size-chartsrosa.jpg?rlkey=bizl73nmdlfep2s4tqfmc317x&amp;dl=0","Click to download SizeChart")</f>
      </c>
      <c r="C2671" s="0" t="inlineStr">
        <is>
          <t>Rosa Women's Bodysuit</t>
        </is>
      </c>
      <c r="D2671" s="1">
        <v>110811</v>
      </c>
      <c r="E2671" s="0" t="inlineStr">
        <is>
          <t>IOWA ROSA BLACK 12 PACK:110811Z-12PK</t>
        </is>
      </c>
      <c r="F2671" s="2">
        <v>800110811998</v>
      </c>
      <c r="G2671" s="0" t="inlineStr">
        <is>
          <t>WOMENS</t>
        </is>
      </c>
      <c r="H2671" s="0" t="inlineStr">
        <is>
          <t>12 PACK</t>
        </is>
      </c>
      <c r="I2671" s="0">
        <v>587.4</v>
      </c>
      <c r="J2671" s="0">
        <v>0</v>
      </c>
    </row>
    <row r="2672" spans="1:10" customHeight="0">
      <c r="A2672" s="0">
        <f>HYPERLINK("https://dl.dropboxusercontent.com/scl/fi/i45vthf6iar4ikrgbzca7/finaldsc2056-copy.jpg?rlkey=8ipg213inmv5hkiuihnahp9eh&amp;dl=0","Click to download Image")</f>
      </c>
      <c r="C2672" s="0" t="inlineStr">
        <is>
          <t>Hazel Fold Top Crossbody</t>
        </is>
      </c>
      <c r="D2672" s="1">
        <v>106977</v>
      </c>
      <c r="E2672" s="0" t="inlineStr">
        <is>
          <t>IA HAZEL:106977</t>
        </is>
      </c>
      <c r="H2672" s="0" t="inlineStr">
        <is>
          <t>OS</t>
        </is>
      </c>
      <c r="I2672" s="0">
        <v>39.99</v>
      </c>
      <c r="J2672" s="0">
        <v>219</v>
      </c>
    </row>
    <row r="2673" spans="1:10" customHeight="0">
      <c r="A2673" s="0">
        <f>HYPERLINK("https://dl.dropboxusercontent.com/scl/fi/5ax99aw0i8h1005asody0/lyra.jpg?rlkey=9iovfr1gaancaq6i3q9ma6ewc&amp;dl=0","Click to download Image")</f>
      </c>
      <c r="B2673" s="0">
        <f>HYPERLINK("https://dl.dropboxusercontent.com/scl/fi/1xyophkrzc11zn50om4pb/womens-bodysuit-size-chartslyra.jpg?rlkey=8b2xrcwoxa7gn8yl46424ab39&amp;dl=0","Click to download SizeChart")</f>
      </c>
      <c r="C2673" s="0" t="inlineStr">
        <is>
          <t>Lyra Womens Long Sleeve Bodysuit</t>
        </is>
      </c>
      <c r="D2673" s="1">
        <v>111663</v>
      </c>
      <c r="E2673" s="0" t="inlineStr">
        <is>
          <t>IOWA LYRA WHITE:111663AA-XS</t>
        </is>
      </c>
      <c r="F2673" s="2">
        <v>800111663039</v>
      </c>
      <c r="G2673" s="0" t="inlineStr">
        <is>
          <t>WOMENS</t>
        </is>
      </c>
      <c r="H2673" s="0" t="inlineStr">
        <is>
          <t>XS</t>
        </is>
      </c>
      <c r="I2673" s="0">
        <v>49.99</v>
      </c>
      <c r="J2673" s="0">
        <v>23</v>
      </c>
    </row>
    <row r="2674" spans="1:10" customHeight="0">
      <c r="A2674" s="0">
        <f>HYPERLINK("https://dl.dropboxusercontent.com/scl/fi/5ax99aw0i8h1005asody0/lyra.jpg?rlkey=9iovfr1gaancaq6i3q9ma6ewc&amp;dl=0","Click to download Image")</f>
      </c>
      <c r="B2674" s="0">
        <f>HYPERLINK("https://dl.dropboxusercontent.com/scl/fi/1xyophkrzc11zn50om4pb/womens-bodysuit-size-chartslyra.jpg?rlkey=8b2xrcwoxa7gn8yl46424ab39&amp;dl=0","Click to download SizeChart")</f>
      </c>
      <c r="C2674" s="0" t="inlineStr">
        <is>
          <t>Lyra Womens Long Sleeve Bodysuit</t>
        </is>
      </c>
      <c r="D2674" s="1">
        <v>111663</v>
      </c>
      <c r="E2674" s="0" t="inlineStr">
        <is>
          <t>IOWA LYRA WHITE:111663A-S</t>
        </is>
      </c>
      <c r="F2674" s="2">
        <v>800111663046</v>
      </c>
      <c r="G2674" s="0" t="inlineStr">
        <is>
          <t>WOMENS</t>
        </is>
      </c>
      <c r="H2674" s="0" t="inlineStr">
        <is>
          <t>S</t>
        </is>
      </c>
      <c r="I2674" s="0">
        <v>49.99</v>
      </c>
      <c r="J2674" s="0">
        <v>36</v>
      </c>
    </row>
    <row r="2675" spans="1:10" customHeight="0">
      <c r="A2675" s="0">
        <f>HYPERLINK("https://dl.dropboxusercontent.com/scl/fi/5ax99aw0i8h1005asody0/lyra.jpg?rlkey=9iovfr1gaancaq6i3q9ma6ewc&amp;dl=0","Click to download Image")</f>
      </c>
      <c r="B2675" s="0">
        <f>HYPERLINK("https://dl.dropboxusercontent.com/scl/fi/1xyophkrzc11zn50om4pb/womens-bodysuit-size-chartslyra.jpg?rlkey=8b2xrcwoxa7gn8yl46424ab39&amp;dl=0","Click to download SizeChart")</f>
      </c>
      <c r="C2675" s="0" t="inlineStr">
        <is>
          <t>Lyra Womens Long Sleeve Bodysuit</t>
        </is>
      </c>
      <c r="D2675" s="1">
        <v>111663</v>
      </c>
      <c r="E2675" s="0" t="inlineStr">
        <is>
          <t>IOWA LYRA WHITE:111663B-M</t>
        </is>
      </c>
      <c r="F2675" s="2">
        <v>800111663053</v>
      </c>
      <c r="G2675" s="0" t="inlineStr">
        <is>
          <t>WOMENS</t>
        </is>
      </c>
      <c r="H2675" s="0" t="inlineStr">
        <is>
          <t>M</t>
        </is>
      </c>
      <c r="I2675" s="0">
        <v>49.99</v>
      </c>
      <c r="J2675" s="0">
        <v>33</v>
      </c>
    </row>
    <row r="2676" spans="1:10" customHeight="0">
      <c r="A2676" s="0">
        <f>HYPERLINK("https://dl.dropboxusercontent.com/scl/fi/5ax99aw0i8h1005asody0/lyra.jpg?rlkey=9iovfr1gaancaq6i3q9ma6ewc&amp;dl=0","Click to download Image")</f>
      </c>
      <c r="B2676" s="0">
        <f>HYPERLINK("https://dl.dropboxusercontent.com/scl/fi/1xyophkrzc11zn50om4pb/womens-bodysuit-size-chartslyra.jpg?rlkey=8b2xrcwoxa7gn8yl46424ab39&amp;dl=0","Click to download SizeChart")</f>
      </c>
      <c r="C2676" s="0" t="inlineStr">
        <is>
          <t>Lyra Womens Long Sleeve Bodysuit</t>
        </is>
      </c>
      <c r="D2676" s="1">
        <v>111663</v>
      </c>
      <c r="E2676" s="0" t="inlineStr">
        <is>
          <t>IOWA LYRA WHITE:111663C-L</t>
        </is>
      </c>
      <c r="F2676" s="2">
        <v>800111663060</v>
      </c>
      <c r="G2676" s="0" t="inlineStr">
        <is>
          <t>WOMENS</t>
        </is>
      </c>
      <c r="H2676" s="0" t="inlineStr">
        <is>
          <t>L</t>
        </is>
      </c>
      <c r="I2676" s="0">
        <v>49.99</v>
      </c>
      <c r="J2676" s="0">
        <v>23</v>
      </c>
    </row>
    <row r="2677" spans="1:10" customHeight="0">
      <c r="A2677" s="0">
        <f>HYPERLINK("https://dl.dropboxusercontent.com/scl/fi/5ax99aw0i8h1005asody0/lyra.jpg?rlkey=9iovfr1gaancaq6i3q9ma6ewc&amp;dl=0","Click to download Image")</f>
      </c>
      <c r="B2677" s="0">
        <f>HYPERLINK("https://dl.dropboxusercontent.com/scl/fi/1xyophkrzc11zn50om4pb/womens-bodysuit-size-chartslyra.jpg?rlkey=8b2xrcwoxa7gn8yl46424ab39&amp;dl=0","Click to download SizeChart")</f>
      </c>
      <c r="C2677" s="0" t="inlineStr">
        <is>
          <t>Lyra Womens Long Sleeve Bodysuit</t>
        </is>
      </c>
      <c r="D2677" s="1">
        <v>111663</v>
      </c>
      <c r="E2677" s="0" t="inlineStr">
        <is>
          <t>IOWA LYRA WHITE:111663D-XL</t>
        </is>
      </c>
      <c r="F2677" s="2">
        <v>800111663077</v>
      </c>
      <c r="G2677" s="0" t="inlineStr">
        <is>
          <t>WOMENS</t>
        </is>
      </c>
      <c r="H2677" s="0" t="inlineStr">
        <is>
          <t>XL</t>
        </is>
      </c>
      <c r="I2677" s="0">
        <v>49.99</v>
      </c>
      <c r="J2677" s="0">
        <v>27</v>
      </c>
    </row>
    <row r="2678" spans="1:10" customHeight="0">
      <c r="A2678" s="0">
        <f>HYPERLINK("https://dl.dropboxusercontent.com/scl/fi/5ax99aw0i8h1005asody0/lyra.jpg?rlkey=9iovfr1gaancaq6i3q9ma6ewc&amp;dl=0","Click to download Image")</f>
      </c>
      <c r="B2678" s="0">
        <f>HYPERLINK("https://dl.dropboxusercontent.com/scl/fi/1xyophkrzc11zn50om4pb/womens-bodysuit-size-chartslyra.jpg?rlkey=8b2xrcwoxa7gn8yl46424ab39&amp;dl=0","Click to download SizeChart")</f>
      </c>
      <c r="C2678" s="0" t="inlineStr">
        <is>
          <t>Lyra Womens Long Sleeve Bodysuit</t>
        </is>
      </c>
      <c r="D2678" s="1">
        <v>111663</v>
      </c>
      <c r="E2678" s="0" t="inlineStr">
        <is>
          <t>IOWA LYRA WHITE:111663E-2XL</t>
        </is>
      </c>
      <c r="F2678" s="2">
        <v>800111663084</v>
      </c>
      <c r="G2678" s="0" t="inlineStr">
        <is>
          <t>WOMENS</t>
        </is>
      </c>
      <c r="H2678" s="0" t="inlineStr">
        <is>
          <t>2XL</t>
        </is>
      </c>
      <c r="I2678" s="0">
        <v>51.99</v>
      </c>
      <c r="J2678" s="0">
        <v>12</v>
      </c>
    </row>
    <row r="2679" spans="1:10" customHeight="0">
      <c r="A2679" s="0">
        <f>HYPERLINK("https://dl.dropboxusercontent.com/scl/fi/5ax99aw0i8h1005asody0/lyra.jpg?rlkey=9iovfr1gaancaq6i3q9ma6ewc&amp;dl=0","Click to download Image")</f>
      </c>
      <c r="B2679" s="0">
        <f>HYPERLINK("https://dl.dropboxusercontent.com/scl/fi/1xyophkrzc11zn50om4pb/womens-bodysuit-size-chartslyra.jpg?rlkey=8b2xrcwoxa7gn8yl46424ab39&amp;dl=0","Click to download SizeChart")</f>
      </c>
      <c r="C2679" s="0" t="inlineStr">
        <is>
          <t>Lyra Womens Long Sleeve Bodysuit</t>
        </is>
      </c>
      <c r="D2679" s="1">
        <v>111663</v>
      </c>
      <c r="E2679" s="0" t="inlineStr">
        <is>
          <t>IOWA LYRA WHITE:111663F-3XL</t>
        </is>
      </c>
      <c r="F2679" s="2">
        <v>800111663091</v>
      </c>
      <c r="G2679" s="0" t="inlineStr">
        <is>
          <t>WOMENS</t>
        </is>
      </c>
      <c r="H2679" s="0" t="inlineStr">
        <is>
          <t>3XL</t>
        </is>
      </c>
      <c r="I2679" s="0">
        <v>51.99</v>
      </c>
      <c r="J2679" s="0">
        <v>12</v>
      </c>
    </row>
    <row r="2680" spans="1:10" customHeight="0">
      <c r="A2680" s="0">
        <f>HYPERLINK("https://dl.dropboxusercontent.com/scl/fi/5ax99aw0i8h1005asody0/lyra.jpg?rlkey=9iovfr1gaancaq6i3q9ma6ewc&amp;dl=0","Click to download Image")</f>
      </c>
      <c r="B2680" s="0">
        <f>HYPERLINK("https://dl.dropboxusercontent.com/scl/fi/1xyophkrzc11zn50om4pb/womens-bodysuit-size-chartslyra.jpg?rlkey=8b2xrcwoxa7gn8yl46424ab39&amp;dl=0","Click to download SizeChart")</f>
      </c>
      <c r="C2680" s="0" t="inlineStr">
        <is>
          <t>Lyra Womens Long Sleeve Bodysuit</t>
        </is>
      </c>
      <c r="D2680" s="1">
        <v>111663</v>
      </c>
      <c r="E2680" s="0" t="inlineStr">
        <is>
          <t>IOWA LYRA WHITE 12 PACK:111663Z-12PK</t>
        </is>
      </c>
      <c r="F2680" s="2">
        <v>800111663992</v>
      </c>
      <c r="G2680" s="0" t="inlineStr">
        <is>
          <t>WOMENS</t>
        </is>
      </c>
      <c r="H2680" s="0" t="inlineStr">
        <is>
          <t>12 PACK</t>
        </is>
      </c>
      <c r="I2680" s="0">
        <v>587.88</v>
      </c>
      <c r="J2680" s="0">
        <v>0</v>
      </c>
    </row>
    <row r="2681" spans="1:10" customHeight="0">
      <c r="A2681" s="0">
        <f>HYPERLINK("https://dl.dropboxusercontent.com/scl/fi/3qqzxr3x5cyo3w6v0mfcd/111092-af.jpg?rlkey=u3189xb4sace834ccle17aakt&amp;dl=0","Click to download Image")</f>
      </c>
      <c r="B2681" s="0">
        <f>HYPERLINK("https://dl.dropboxusercontent.com/scl/fi/1xyophkrzc11zn50om4pb/womens-bodysuit-size-chartslyra.jpg?rlkey=8b2xrcwoxa7gn8yl46424ab39&amp;dl=0","Click to download SizeChart")</f>
      </c>
      <c r="C2681" s="0" t="inlineStr">
        <is>
          <t>Lyra Womens Long Sleeve Bodysuit</t>
        </is>
      </c>
      <c r="D2681" s="1">
        <v>111092</v>
      </c>
      <c r="E2681" s="0" t="inlineStr">
        <is>
          <t>IOWA LYRA:111092AA-XS</t>
        </is>
      </c>
      <c r="F2681" s="2">
        <v>800111092037</v>
      </c>
      <c r="G2681" s="0" t="inlineStr">
        <is>
          <t>WOMENS</t>
        </is>
      </c>
      <c r="H2681" s="0" t="inlineStr">
        <is>
          <t>XS</t>
        </is>
      </c>
      <c r="I2681" s="0">
        <v>49.99</v>
      </c>
      <c r="J2681" s="0">
        <v>22</v>
      </c>
    </row>
    <row r="2682" spans="1:10" customHeight="0">
      <c r="A2682" s="0">
        <f>HYPERLINK("https://dl.dropboxusercontent.com/scl/fi/3qqzxr3x5cyo3w6v0mfcd/111092-af.jpg?rlkey=u3189xb4sace834ccle17aakt&amp;dl=0","Click to download Image")</f>
      </c>
      <c r="B2682" s="0">
        <f>HYPERLINK("https://dl.dropboxusercontent.com/scl/fi/1xyophkrzc11zn50om4pb/womens-bodysuit-size-chartslyra.jpg?rlkey=8b2xrcwoxa7gn8yl46424ab39&amp;dl=0","Click to download SizeChart")</f>
      </c>
      <c r="C2682" s="0" t="inlineStr">
        <is>
          <t>Lyra Womens Long Sleeve Bodysuit</t>
        </is>
      </c>
      <c r="D2682" s="1">
        <v>111092</v>
      </c>
      <c r="E2682" s="0" t="inlineStr">
        <is>
          <t>IOWA LYRA:111092A-S</t>
        </is>
      </c>
      <c r="F2682" s="2">
        <v>800111092044</v>
      </c>
      <c r="G2682" s="0" t="inlineStr">
        <is>
          <t>WOMENS</t>
        </is>
      </c>
      <c r="H2682" s="0" t="inlineStr">
        <is>
          <t>S</t>
        </is>
      </c>
      <c r="I2682" s="0">
        <v>49.99</v>
      </c>
      <c r="J2682" s="0">
        <v>31</v>
      </c>
    </row>
    <row r="2683" spans="1:10" customHeight="0">
      <c r="A2683" s="0">
        <f>HYPERLINK("https://dl.dropboxusercontent.com/scl/fi/3qqzxr3x5cyo3w6v0mfcd/111092-af.jpg?rlkey=u3189xb4sace834ccle17aakt&amp;dl=0","Click to download Image")</f>
      </c>
      <c r="B2683" s="0">
        <f>HYPERLINK("https://dl.dropboxusercontent.com/scl/fi/1xyophkrzc11zn50om4pb/womens-bodysuit-size-chartslyra.jpg?rlkey=8b2xrcwoxa7gn8yl46424ab39&amp;dl=0","Click to download SizeChart")</f>
      </c>
      <c r="C2683" s="0" t="inlineStr">
        <is>
          <t>Lyra Womens Long Sleeve Bodysuit</t>
        </is>
      </c>
      <c r="D2683" s="1">
        <v>111092</v>
      </c>
      <c r="E2683" s="0" t="inlineStr">
        <is>
          <t>IOWA LYRA:111092B-M</t>
        </is>
      </c>
      <c r="F2683" s="2">
        <v>800111092051</v>
      </c>
      <c r="G2683" s="0" t="inlineStr">
        <is>
          <t>WOMENS</t>
        </is>
      </c>
      <c r="H2683" s="0" t="inlineStr">
        <is>
          <t>M</t>
        </is>
      </c>
      <c r="I2683" s="0">
        <v>49.99</v>
      </c>
      <c r="J2683" s="0">
        <v>26</v>
      </c>
    </row>
    <row r="2684" spans="1:10" customHeight="0">
      <c r="A2684" s="0">
        <f>HYPERLINK("https://dl.dropboxusercontent.com/scl/fi/3qqzxr3x5cyo3w6v0mfcd/111092-af.jpg?rlkey=u3189xb4sace834ccle17aakt&amp;dl=0","Click to download Image")</f>
      </c>
      <c r="B2684" s="0">
        <f>HYPERLINK("https://dl.dropboxusercontent.com/scl/fi/1xyophkrzc11zn50om4pb/womens-bodysuit-size-chartslyra.jpg?rlkey=8b2xrcwoxa7gn8yl46424ab39&amp;dl=0","Click to download SizeChart")</f>
      </c>
      <c r="C2684" s="0" t="inlineStr">
        <is>
          <t>Lyra Womens Long Sleeve Bodysuit</t>
        </is>
      </c>
      <c r="D2684" s="1">
        <v>111092</v>
      </c>
      <c r="E2684" s="0" t="inlineStr">
        <is>
          <t>IOWA LYRA:111092C-L</t>
        </is>
      </c>
      <c r="F2684" s="2">
        <v>800111092068</v>
      </c>
      <c r="G2684" s="0" t="inlineStr">
        <is>
          <t>WOMENS</t>
        </is>
      </c>
      <c r="H2684" s="0" t="inlineStr">
        <is>
          <t>L</t>
        </is>
      </c>
      <c r="I2684" s="0">
        <v>49.99</v>
      </c>
      <c r="J2684" s="0">
        <v>18</v>
      </c>
    </row>
    <row r="2685" spans="1:10" customHeight="0">
      <c r="A2685" s="0">
        <f>HYPERLINK("https://dl.dropboxusercontent.com/scl/fi/3qqzxr3x5cyo3w6v0mfcd/111092-af.jpg?rlkey=u3189xb4sace834ccle17aakt&amp;dl=0","Click to download Image")</f>
      </c>
      <c r="B2685" s="0">
        <f>HYPERLINK("https://dl.dropboxusercontent.com/scl/fi/1xyophkrzc11zn50om4pb/womens-bodysuit-size-chartslyra.jpg?rlkey=8b2xrcwoxa7gn8yl46424ab39&amp;dl=0","Click to download SizeChart")</f>
      </c>
      <c r="C2685" s="0" t="inlineStr">
        <is>
          <t>Lyra Womens Long Sleeve Bodysuit</t>
        </is>
      </c>
      <c r="D2685" s="1">
        <v>111092</v>
      </c>
      <c r="E2685" s="0" t="inlineStr">
        <is>
          <t>IOWA LYRA:111092D-XL</t>
        </is>
      </c>
      <c r="F2685" s="2">
        <v>800111092075</v>
      </c>
      <c r="G2685" s="0" t="inlineStr">
        <is>
          <t>WOMENS</t>
        </is>
      </c>
      <c r="H2685" s="0" t="inlineStr">
        <is>
          <t>XL</t>
        </is>
      </c>
      <c r="I2685" s="0">
        <v>49.99</v>
      </c>
      <c r="J2685" s="0">
        <v>18</v>
      </c>
    </row>
    <row r="2686" spans="1:10" customHeight="0">
      <c r="A2686" s="0">
        <f>HYPERLINK("https://dl.dropboxusercontent.com/scl/fi/3qqzxr3x5cyo3w6v0mfcd/111092-af.jpg?rlkey=u3189xb4sace834ccle17aakt&amp;dl=0","Click to download Image")</f>
      </c>
      <c r="B2686" s="0">
        <f>HYPERLINK("https://dl.dropboxusercontent.com/scl/fi/1xyophkrzc11zn50om4pb/womens-bodysuit-size-chartslyra.jpg?rlkey=8b2xrcwoxa7gn8yl46424ab39&amp;dl=0","Click to download SizeChart")</f>
      </c>
      <c r="C2686" s="0" t="inlineStr">
        <is>
          <t>Lyra Womens Long Sleeve Bodysuit</t>
        </is>
      </c>
      <c r="D2686" s="1">
        <v>111092</v>
      </c>
      <c r="E2686" s="0" t="inlineStr">
        <is>
          <t>IOWA LYRA:111092E-2XL</t>
        </is>
      </c>
      <c r="F2686" s="2">
        <v>800111092082</v>
      </c>
      <c r="G2686" s="0" t="inlineStr">
        <is>
          <t>WOMENS</t>
        </is>
      </c>
      <c r="H2686" s="0" t="inlineStr">
        <is>
          <t>2XL</t>
        </is>
      </c>
      <c r="I2686" s="0">
        <v>51.99</v>
      </c>
      <c r="J2686" s="0">
        <v>12</v>
      </c>
    </row>
    <row r="2687" spans="1:10" customHeight="0">
      <c r="A2687" s="0">
        <f>HYPERLINK("https://dl.dropboxusercontent.com/scl/fi/3qqzxr3x5cyo3w6v0mfcd/111092-af.jpg?rlkey=u3189xb4sace834ccle17aakt&amp;dl=0","Click to download Image")</f>
      </c>
      <c r="B2687" s="0">
        <f>HYPERLINK("https://dl.dropboxusercontent.com/scl/fi/1xyophkrzc11zn50om4pb/womens-bodysuit-size-chartslyra.jpg?rlkey=8b2xrcwoxa7gn8yl46424ab39&amp;dl=0","Click to download SizeChart")</f>
      </c>
      <c r="C2687" s="0" t="inlineStr">
        <is>
          <t>Lyra Womens Long Sleeve Bodysuit</t>
        </is>
      </c>
      <c r="D2687" s="1">
        <v>111092</v>
      </c>
      <c r="E2687" s="0" t="inlineStr">
        <is>
          <t>IOWA LYRA:111092F-3XL</t>
        </is>
      </c>
      <c r="F2687" s="2">
        <v>800111092099</v>
      </c>
      <c r="G2687" s="0" t="inlineStr">
        <is>
          <t>WOMENS</t>
        </is>
      </c>
      <c r="H2687" s="0" t="inlineStr">
        <is>
          <t>3XL</t>
        </is>
      </c>
      <c r="I2687" s="0">
        <v>51.99</v>
      </c>
      <c r="J2687" s="0">
        <v>12</v>
      </c>
    </row>
    <row r="2688" spans="1:10" customHeight="0">
      <c r="A2688" s="0">
        <f>HYPERLINK("https://dl.dropboxusercontent.com/scl/fi/3qqzxr3x5cyo3w6v0mfcd/111092-af.jpg?rlkey=u3189xb4sace834ccle17aakt&amp;dl=0","Click to download Image")</f>
      </c>
      <c r="B2688" s="0">
        <f>HYPERLINK("https://dl.dropboxusercontent.com/scl/fi/1xyophkrzc11zn50om4pb/womens-bodysuit-size-chartslyra.jpg?rlkey=8b2xrcwoxa7gn8yl46424ab39&amp;dl=0","Click to download SizeChart")</f>
      </c>
      <c r="C2688" s="0" t="inlineStr">
        <is>
          <t>Lyra Womens Long Sleeve Bodysuit</t>
        </is>
      </c>
      <c r="D2688" s="1">
        <v>111092</v>
      </c>
      <c r="E2688" s="0" t="inlineStr">
        <is>
          <t>IOWA LYRA 12 PACK:111092Z-12PK</t>
        </is>
      </c>
      <c r="F2688" s="2">
        <v>800111092990</v>
      </c>
      <c r="G2688" s="0" t="inlineStr">
        <is>
          <t>WOMENS</t>
        </is>
      </c>
      <c r="H2688" s="0" t="inlineStr">
        <is>
          <t>12 PACK</t>
        </is>
      </c>
      <c r="I2688" s="0">
        <v>587.88</v>
      </c>
      <c r="J2688" s="0">
        <v>0</v>
      </c>
    </row>
    <row r="2689" spans="1:10" customHeight="0">
      <c r="A2689" s="0">
        <f>HYPERLINK("https://dl.dropboxusercontent.com/scl/fi/qzuzwmfda0lcoisgm08in/667a4952-1bc59941.jpg?rlkey=3sv4mpn5avud10xq27q7wh2p5&amp;dl=0","Click to download Image")</f>
      </c>
      <c r="B2689" s="0">
        <f>HYPERLINK("https://dl.dropboxusercontent.com/scl/fi/q69y9yyghmofp6c6dckio/10-18-size-chartsinfant.jpg?rlkey=0krtp2jk67mc6oq0dqmota2vg&amp;dl=0","Click to download SizeChart")</f>
      </c>
      <c r="C2689" s="0" t="inlineStr">
        <is>
          <t>Roman Infant Swim Set</t>
        </is>
      </c>
      <c r="D2689" s="1">
        <v>103580</v>
      </c>
      <c r="E2689" s="0" t="inlineStr">
        <is>
          <t>ROMAN:103580A-0-3M</t>
        </is>
      </c>
      <c r="G2689" s="0" t="inlineStr">
        <is>
          <t>INFANT</t>
        </is>
      </c>
      <c r="H2689" s="0" t="inlineStr">
        <is>
          <t>0-3M</t>
        </is>
      </c>
      <c r="I2689" s="0">
        <v>24.99</v>
      </c>
      <c r="J2689" s="0">
        <v>110</v>
      </c>
    </row>
    <row r="2690" spans="1:10" customHeight="0">
      <c r="A2690" s="0">
        <f>HYPERLINK("https://dl.dropboxusercontent.com/scl/fi/qzuzwmfda0lcoisgm08in/667a4952-1bc59941.jpg?rlkey=3sv4mpn5avud10xq27q7wh2p5&amp;dl=0","Click to download Image")</f>
      </c>
      <c r="B2690" s="0">
        <f>HYPERLINK("https://dl.dropboxusercontent.com/scl/fi/q69y9yyghmofp6c6dckio/10-18-size-chartsinfant.jpg?rlkey=0krtp2jk67mc6oq0dqmota2vg&amp;dl=0","Click to download SizeChart")</f>
      </c>
      <c r="C2690" s="0" t="inlineStr">
        <is>
          <t>Roman Infant Swim Set</t>
        </is>
      </c>
      <c r="D2690" s="1">
        <v>103580</v>
      </c>
      <c r="E2690" s="0" t="inlineStr">
        <is>
          <t>ROMAN:103580B-3-6M</t>
        </is>
      </c>
      <c r="G2690" s="0" t="inlineStr">
        <is>
          <t>INFANT</t>
        </is>
      </c>
      <c r="H2690" s="0" t="inlineStr">
        <is>
          <t>3-6M</t>
        </is>
      </c>
      <c r="I2690" s="0">
        <v>24.99</v>
      </c>
      <c r="J2690" s="0">
        <v>114</v>
      </c>
    </row>
    <row r="2691" spans="1:10" customHeight="0">
      <c r="A2691" s="0">
        <f>HYPERLINK("https://dl.dropboxusercontent.com/scl/fi/qzuzwmfda0lcoisgm08in/667a4952-1bc59941.jpg?rlkey=3sv4mpn5avud10xq27q7wh2p5&amp;dl=0","Click to download Image")</f>
      </c>
      <c r="B2691" s="0">
        <f>HYPERLINK("https://dl.dropboxusercontent.com/scl/fi/q69y9yyghmofp6c6dckio/10-18-size-chartsinfant.jpg?rlkey=0krtp2jk67mc6oq0dqmota2vg&amp;dl=0","Click to download SizeChart")</f>
      </c>
      <c r="C2691" s="0" t="inlineStr">
        <is>
          <t>Roman Infant Swim Set</t>
        </is>
      </c>
      <c r="D2691" s="1">
        <v>103580</v>
      </c>
      <c r="E2691" s="0" t="inlineStr">
        <is>
          <t>ROMAN:103580C-6-9M</t>
        </is>
      </c>
      <c r="G2691" s="0" t="inlineStr">
        <is>
          <t>INFANT</t>
        </is>
      </c>
      <c r="H2691" s="0" t="inlineStr">
        <is>
          <t>6-9M</t>
        </is>
      </c>
      <c r="I2691" s="0">
        <v>24.99</v>
      </c>
      <c r="J2691" s="0">
        <v>98</v>
      </c>
    </row>
    <row r="2692" spans="1:10" customHeight="0">
      <c r="A2692" s="0">
        <f>HYPERLINK("https://dl.dropboxusercontent.com/scl/fi/qzuzwmfda0lcoisgm08in/667a4952-1bc59941.jpg?rlkey=3sv4mpn5avud10xq27q7wh2p5&amp;dl=0","Click to download Image")</f>
      </c>
      <c r="B2692" s="0">
        <f>HYPERLINK("https://dl.dropboxusercontent.com/scl/fi/q69y9yyghmofp6c6dckio/10-18-size-chartsinfant.jpg?rlkey=0krtp2jk67mc6oq0dqmota2vg&amp;dl=0","Click to download SizeChart")</f>
      </c>
      <c r="C2692" s="0" t="inlineStr">
        <is>
          <t>Roman Infant Swim Set</t>
        </is>
      </c>
      <c r="D2692" s="1">
        <v>103580</v>
      </c>
      <c r="E2692" s="0" t="inlineStr">
        <is>
          <t>ROMAN:103580D- 12M</t>
        </is>
      </c>
      <c r="G2692" s="0" t="inlineStr">
        <is>
          <t>INFANT</t>
        </is>
      </c>
      <c r="H2692" s="0" t="inlineStr">
        <is>
          <t>12M</t>
        </is>
      </c>
      <c r="I2692" s="0">
        <v>24.99</v>
      </c>
      <c r="J2692" s="0">
        <v>108</v>
      </c>
    </row>
    <row r="2693" spans="1:10" customHeight="0">
      <c r="A2693" s="0">
        <f>HYPERLINK("https://dl.dropboxusercontent.com/scl/fi/i10a3vqg99b15uy3tnxjr/dsc5748bc.jpg?rlkey=vxrrtmqzhtkyz42n1ryy2x9qf&amp;dl=0","Click to download Image")</f>
      </c>
      <c r="B2693" s="0">
        <f>HYPERLINK("https://dl.dropboxusercontent.com/scl/fi/dg2bx66owfdpague8got3/womens-size-chartsbella.jpg?rlkey=5myku6ywwqdbbwjn5z1omgojp&amp;dl=0","Click to download SizeChart")</f>
      </c>
      <c r="C2693" s="0" t="inlineStr">
        <is>
          <t>Bella Women's Quilted Puffer Jacket</t>
        </is>
      </c>
      <c r="D2693" s="1">
        <v>110863</v>
      </c>
      <c r="E2693" s="0" t="inlineStr">
        <is>
          <t>IOWA BELLA JACKET:110863AA-XS</t>
        </is>
      </c>
      <c r="F2693" s="2">
        <v>800110863034</v>
      </c>
      <c r="G2693" s="0" t="inlineStr">
        <is>
          <t>WOMENS</t>
        </is>
      </c>
      <c r="H2693" s="0" t="inlineStr">
        <is>
          <t>XS</t>
        </is>
      </c>
      <c r="I2693" s="0">
        <v>129.99</v>
      </c>
      <c r="J2693" s="0">
        <v>32</v>
      </c>
    </row>
    <row r="2694" spans="1:10" customHeight="0">
      <c r="A2694" s="0">
        <f>HYPERLINK("https://dl.dropboxusercontent.com/scl/fi/i10a3vqg99b15uy3tnxjr/dsc5748bc.jpg?rlkey=vxrrtmqzhtkyz42n1ryy2x9qf&amp;dl=0","Click to download Image")</f>
      </c>
      <c r="B2694" s="0">
        <f>HYPERLINK("https://dl.dropboxusercontent.com/scl/fi/dg2bx66owfdpague8got3/womens-size-chartsbella.jpg?rlkey=5myku6ywwqdbbwjn5z1omgojp&amp;dl=0","Click to download SizeChart")</f>
      </c>
      <c r="C2694" s="0" t="inlineStr">
        <is>
          <t>Bella Women's Quilted Puffer Jacket</t>
        </is>
      </c>
      <c r="D2694" s="1">
        <v>110863</v>
      </c>
      <c r="E2694" s="0" t="inlineStr">
        <is>
          <t>IOWA BELLA JACKET:110863A-S</t>
        </is>
      </c>
      <c r="F2694" s="2">
        <v>800110863041</v>
      </c>
      <c r="G2694" s="0" t="inlineStr">
        <is>
          <t>WOMENS</t>
        </is>
      </c>
      <c r="H2694" s="0" t="inlineStr">
        <is>
          <t>S</t>
        </is>
      </c>
      <c r="I2694" s="0">
        <v>129.99</v>
      </c>
      <c r="J2694" s="0">
        <v>45</v>
      </c>
    </row>
    <row r="2695" spans="1:10" customHeight="0">
      <c r="A2695" s="0">
        <f>HYPERLINK("https://dl.dropboxusercontent.com/scl/fi/i10a3vqg99b15uy3tnxjr/dsc5748bc.jpg?rlkey=vxrrtmqzhtkyz42n1ryy2x9qf&amp;dl=0","Click to download Image")</f>
      </c>
      <c r="B2695" s="0">
        <f>HYPERLINK("https://dl.dropboxusercontent.com/scl/fi/dg2bx66owfdpague8got3/womens-size-chartsbella.jpg?rlkey=5myku6ywwqdbbwjn5z1omgojp&amp;dl=0","Click to download SizeChart")</f>
      </c>
      <c r="C2695" s="0" t="inlineStr">
        <is>
          <t>Bella Women's Quilted Puffer Jacket</t>
        </is>
      </c>
      <c r="D2695" s="1">
        <v>110863</v>
      </c>
      <c r="E2695" s="0" t="inlineStr">
        <is>
          <t>IOWA BELLA JACKET:110863B-M</t>
        </is>
      </c>
      <c r="F2695" s="2">
        <v>800110863058</v>
      </c>
      <c r="G2695" s="0" t="inlineStr">
        <is>
          <t>WOMENS</t>
        </is>
      </c>
      <c r="H2695" s="0" t="inlineStr">
        <is>
          <t>M</t>
        </is>
      </c>
      <c r="I2695" s="0">
        <v>129.99</v>
      </c>
      <c r="J2695" s="0">
        <v>45</v>
      </c>
    </row>
    <row r="2696" spans="1:10" customHeight="0">
      <c r="A2696" s="0">
        <f>HYPERLINK("https://dl.dropboxusercontent.com/scl/fi/i10a3vqg99b15uy3tnxjr/dsc5748bc.jpg?rlkey=vxrrtmqzhtkyz42n1ryy2x9qf&amp;dl=0","Click to download Image")</f>
      </c>
      <c r="B2696" s="0">
        <f>HYPERLINK("https://dl.dropboxusercontent.com/scl/fi/dg2bx66owfdpague8got3/womens-size-chartsbella.jpg?rlkey=5myku6ywwqdbbwjn5z1omgojp&amp;dl=0","Click to download SizeChart")</f>
      </c>
      <c r="C2696" s="0" t="inlineStr">
        <is>
          <t>Bella Women's Quilted Puffer Jacket</t>
        </is>
      </c>
      <c r="D2696" s="1">
        <v>110863</v>
      </c>
      <c r="E2696" s="0" t="inlineStr">
        <is>
          <t>IOWA BELLA JACKET:110863C-L</t>
        </is>
      </c>
      <c r="F2696" s="2">
        <v>800110863065</v>
      </c>
      <c r="G2696" s="0" t="inlineStr">
        <is>
          <t>WOMENS</t>
        </is>
      </c>
      <c r="H2696" s="0" t="inlineStr">
        <is>
          <t>L</t>
        </is>
      </c>
      <c r="I2696" s="0">
        <v>129.99</v>
      </c>
      <c r="J2696" s="0">
        <v>30</v>
      </c>
    </row>
    <row r="2697" spans="1:10" customHeight="0">
      <c r="A2697" s="0">
        <f>HYPERLINK("https://dl.dropboxusercontent.com/scl/fi/i10a3vqg99b15uy3tnxjr/dsc5748bc.jpg?rlkey=vxrrtmqzhtkyz42n1ryy2x9qf&amp;dl=0","Click to download Image")</f>
      </c>
      <c r="B2697" s="0">
        <f>HYPERLINK("https://dl.dropboxusercontent.com/scl/fi/dg2bx66owfdpague8got3/womens-size-chartsbella.jpg?rlkey=5myku6ywwqdbbwjn5z1omgojp&amp;dl=0","Click to download SizeChart")</f>
      </c>
      <c r="C2697" s="0" t="inlineStr">
        <is>
          <t>Bella Women's Quilted Puffer Jacket</t>
        </is>
      </c>
      <c r="D2697" s="1">
        <v>110863</v>
      </c>
      <c r="E2697" s="0" t="inlineStr">
        <is>
          <t>IOWA BELLA JACKET:110863D-XL</t>
        </is>
      </c>
      <c r="F2697" s="2">
        <v>800110863072</v>
      </c>
      <c r="G2697" s="0" t="inlineStr">
        <is>
          <t>WOMENS</t>
        </is>
      </c>
      <c r="H2697" s="0" t="inlineStr">
        <is>
          <t>XL</t>
        </is>
      </c>
      <c r="I2697" s="0">
        <v>129.99</v>
      </c>
      <c r="J2697" s="0">
        <v>28</v>
      </c>
    </row>
    <row r="2698" spans="1:10" customHeight="0">
      <c r="A2698" s="0">
        <f>HYPERLINK("https://dl.dropboxusercontent.com/scl/fi/i10a3vqg99b15uy3tnxjr/dsc5748bc.jpg?rlkey=vxrrtmqzhtkyz42n1ryy2x9qf&amp;dl=0","Click to download Image")</f>
      </c>
      <c r="B2698" s="0">
        <f>HYPERLINK("https://dl.dropboxusercontent.com/scl/fi/dg2bx66owfdpague8got3/womens-size-chartsbella.jpg?rlkey=5myku6ywwqdbbwjn5z1omgojp&amp;dl=0","Click to download SizeChart")</f>
      </c>
      <c r="C2698" s="0" t="inlineStr">
        <is>
          <t>Bella Women's Quilted Puffer Jacket</t>
        </is>
      </c>
      <c r="D2698" s="1">
        <v>110863</v>
      </c>
      <c r="E2698" s="0" t="inlineStr">
        <is>
          <t>IOWA BELLA JACKET:110863E-2XL</t>
        </is>
      </c>
      <c r="F2698" s="2">
        <v>800110863089</v>
      </c>
      <c r="G2698" s="0" t="inlineStr">
        <is>
          <t>WOMENS</t>
        </is>
      </c>
      <c r="H2698" s="0" t="inlineStr">
        <is>
          <t>2XL</t>
        </is>
      </c>
      <c r="I2698" s="0">
        <v>131.99</v>
      </c>
      <c r="J2698" s="0">
        <v>16</v>
      </c>
    </row>
    <row r="2699" spans="1:10" customHeight="0">
      <c r="A2699" s="0">
        <f>HYPERLINK("https://dl.dropboxusercontent.com/scl/fi/i10a3vqg99b15uy3tnxjr/dsc5748bc.jpg?rlkey=vxrrtmqzhtkyz42n1ryy2x9qf&amp;dl=0","Click to download Image")</f>
      </c>
      <c r="B2699" s="0">
        <f>HYPERLINK("https://dl.dropboxusercontent.com/scl/fi/dg2bx66owfdpague8got3/womens-size-chartsbella.jpg?rlkey=5myku6ywwqdbbwjn5z1omgojp&amp;dl=0","Click to download SizeChart")</f>
      </c>
      <c r="C2699" s="0" t="inlineStr">
        <is>
          <t>Bella Women's Quilted Puffer Jacket</t>
        </is>
      </c>
      <c r="D2699" s="1">
        <v>110863</v>
      </c>
      <c r="E2699" s="0" t="inlineStr">
        <is>
          <t>IOWA BELLA JACKET:110863F-3XL</t>
        </is>
      </c>
      <c r="F2699" s="2">
        <v>800110863096</v>
      </c>
      <c r="G2699" s="0" t="inlineStr">
        <is>
          <t>WOMENS</t>
        </is>
      </c>
      <c r="H2699" s="0" t="inlineStr">
        <is>
          <t>3XL</t>
        </is>
      </c>
      <c r="I2699" s="0">
        <v>131.99</v>
      </c>
      <c r="J2699" s="0">
        <v>14</v>
      </c>
    </row>
    <row r="2700" spans="1:10" customHeight="0">
      <c r="A2700" s="0">
        <f>HYPERLINK("https://dl.dropboxusercontent.com/scl/fi/606132bkmfvw17kw5il2r/daphnei.jpg?rlkey=rw0ia9xydvi4mf24r7malrl5v&amp;dl=0","Click to download Image")</f>
      </c>
      <c r="B2700" s="0">
        <f>HYPERLINK("https://dl.dropboxusercontent.com/scl/fi/iku8na31928lwt856q85k/womens-size-chartsdaphne.jpg?rlkey=josqtgxxmch61lzdzk3t7qprg&amp;dl=0","Click to download SizeChart")</f>
      </c>
      <c r="C2700" s="0" t="inlineStr">
        <is>
          <t>Daphne Women's Bomber Jacket</t>
        </is>
      </c>
      <c r="D2700" s="1">
        <v>111930</v>
      </c>
      <c r="E2700" s="0" t="inlineStr">
        <is>
          <t>IOWA DAPHNE BLACK:111930AA-XS</t>
        </is>
      </c>
      <c r="F2700" s="2">
        <v>800111930032</v>
      </c>
      <c r="G2700" s="0" t="inlineStr">
        <is>
          <t>WOMENS</t>
        </is>
      </c>
      <c r="H2700" s="0" t="inlineStr">
        <is>
          <t>XS</t>
        </is>
      </c>
      <c r="I2700" s="0">
        <v>89.99</v>
      </c>
      <c r="J2700" s="0">
        <v>11</v>
      </c>
    </row>
    <row r="2701" spans="1:10" customHeight="0">
      <c r="A2701" s="0">
        <f>HYPERLINK("https://dl.dropboxusercontent.com/scl/fi/606132bkmfvw17kw5il2r/daphnei.jpg?rlkey=rw0ia9xydvi4mf24r7malrl5v&amp;dl=0","Click to download Image")</f>
      </c>
      <c r="B2701" s="0">
        <f>HYPERLINK("https://dl.dropboxusercontent.com/scl/fi/iku8na31928lwt856q85k/womens-size-chartsdaphne.jpg?rlkey=josqtgxxmch61lzdzk3t7qprg&amp;dl=0","Click to download SizeChart")</f>
      </c>
      <c r="C2701" s="0" t="inlineStr">
        <is>
          <t>Daphne Women's Bomber Jacket</t>
        </is>
      </c>
      <c r="D2701" s="1">
        <v>111930</v>
      </c>
      <c r="E2701" s="0" t="inlineStr">
        <is>
          <t>IOWA DAPHNE BLACK:111930A-S</t>
        </is>
      </c>
      <c r="F2701" s="2">
        <v>800111930049</v>
      </c>
      <c r="G2701" s="0" t="inlineStr">
        <is>
          <t>WOMENS</t>
        </is>
      </c>
      <c r="H2701" s="0" t="inlineStr">
        <is>
          <t>S</t>
        </is>
      </c>
      <c r="I2701" s="0">
        <v>89.99</v>
      </c>
      <c r="J2701" s="0">
        <v>9</v>
      </c>
    </row>
    <row r="2702" spans="1:10" customHeight="0">
      <c r="A2702" s="0">
        <f>HYPERLINK("https://dl.dropboxusercontent.com/scl/fi/606132bkmfvw17kw5il2r/daphnei.jpg?rlkey=rw0ia9xydvi4mf24r7malrl5v&amp;dl=0","Click to download Image")</f>
      </c>
      <c r="B2702" s="0">
        <f>HYPERLINK("https://dl.dropboxusercontent.com/scl/fi/iku8na31928lwt856q85k/womens-size-chartsdaphne.jpg?rlkey=josqtgxxmch61lzdzk3t7qprg&amp;dl=0","Click to download SizeChart")</f>
      </c>
      <c r="C2702" s="0" t="inlineStr">
        <is>
          <t>Daphne Women's Bomber Jacket</t>
        </is>
      </c>
      <c r="D2702" s="1">
        <v>111930</v>
      </c>
      <c r="E2702" s="0" t="inlineStr">
        <is>
          <t>IOWA DAPHNE BLACK:111930B-M</t>
        </is>
      </c>
      <c r="F2702" s="2">
        <v>800111930056</v>
      </c>
      <c r="G2702" s="0" t="inlineStr">
        <is>
          <t>WOMENS</t>
        </is>
      </c>
      <c r="H2702" s="0" t="inlineStr">
        <is>
          <t>M</t>
        </is>
      </c>
      <c r="I2702" s="0">
        <v>89.99</v>
      </c>
      <c r="J2702" s="0">
        <v>0</v>
      </c>
    </row>
    <row r="2703" spans="1:10" customHeight="0">
      <c r="A2703" s="0">
        <f>HYPERLINK("https://dl.dropboxusercontent.com/scl/fi/606132bkmfvw17kw5il2r/daphnei.jpg?rlkey=rw0ia9xydvi4mf24r7malrl5v&amp;dl=0","Click to download Image")</f>
      </c>
      <c r="B2703" s="0">
        <f>HYPERLINK("https://dl.dropboxusercontent.com/scl/fi/iku8na31928lwt856q85k/womens-size-chartsdaphne.jpg?rlkey=josqtgxxmch61lzdzk3t7qprg&amp;dl=0","Click to download SizeChart")</f>
      </c>
      <c r="C2703" s="0" t="inlineStr">
        <is>
          <t>Daphne Women's Bomber Jacket</t>
        </is>
      </c>
      <c r="D2703" s="1">
        <v>111930</v>
      </c>
      <c r="E2703" s="0" t="inlineStr">
        <is>
          <t>IOWA DAPHNE BLACK:111930C-L</t>
        </is>
      </c>
      <c r="F2703" s="2">
        <v>800111930063</v>
      </c>
      <c r="G2703" s="0" t="inlineStr">
        <is>
          <t>WOMENS</t>
        </is>
      </c>
      <c r="H2703" s="0" t="inlineStr">
        <is>
          <t>L</t>
        </is>
      </c>
      <c r="I2703" s="0">
        <v>89.99</v>
      </c>
      <c r="J2703" s="0">
        <v>0</v>
      </c>
    </row>
    <row r="2704" spans="1:10" customHeight="0">
      <c r="A2704" s="0">
        <f>HYPERLINK("https://dl.dropboxusercontent.com/scl/fi/606132bkmfvw17kw5il2r/daphnei.jpg?rlkey=rw0ia9xydvi4mf24r7malrl5v&amp;dl=0","Click to download Image")</f>
      </c>
      <c r="B2704" s="0">
        <f>HYPERLINK("https://dl.dropboxusercontent.com/scl/fi/iku8na31928lwt856q85k/womens-size-chartsdaphne.jpg?rlkey=josqtgxxmch61lzdzk3t7qprg&amp;dl=0","Click to download SizeChart")</f>
      </c>
      <c r="C2704" s="0" t="inlineStr">
        <is>
          <t>Daphne Women's Bomber Jacket</t>
        </is>
      </c>
      <c r="D2704" s="1">
        <v>111930</v>
      </c>
      <c r="E2704" s="0" t="inlineStr">
        <is>
          <t>IOWA DAPHNE BLACK:111930D-XL</t>
        </is>
      </c>
      <c r="F2704" s="2">
        <v>800111930070</v>
      </c>
      <c r="G2704" s="0" t="inlineStr">
        <is>
          <t>WOMENS</t>
        </is>
      </c>
      <c r="H2704" s="0" t="inlineStr">
        <is>
          <t>XL</t>
        </is>
      </c>
      <c r="I2704" s="0">
        <v>89.99</v>
      </c>
      <c r="J2704" s="0">
        <v>6</v>
      </c>
    </row>
    <row r="2705" spans="1:10" customHeight="0">
      <c r="A2705" s="0">
        <f>HYPERLINK("https://dl.dropboxusercontent.com/scl/fi/606132bkmfvw17kw5il2r/daphnei.jpg?rlkey=rw0ia9xydvi4mf24r7malrl5v&amp;dl=0","Click to download Image")</f>
      </c>
      <c r="B2705" s="0">
        <f>HYPERLINK("https://dl.dropboxusercontent.com/scl/fi/iku8na31928lwt856q85k/womens-size-chartsdaphne.jpg?rlkey=josqtgxxmch61lzdzk3t7qprg&amp;dl=0","Click to download SizeChart")</f>
      </c>
      <c r="C2705" s="0" t="inlineStr">
        <is>
          <t>Daphne Women's Bomber Jacket</t>
        </is>
      </c>
      <c r="D2705" s="1">
        <v>111930</v>
      </c>
      <c r="E2705" s="0" t="inlineStr">
        <is>
          <t>IOWA DAPHNE BLACK:111930E-2XL</t>
        </is>
      </c>
      <c r="F2705" s="2">
        <v>800111930087</v>
      </c>
      <c r="G2705" s="0" t="inlineStr">
        <is>
          <t>WOMENS</t>
        </is>
      </c>
      <c r="H2705" s="0" t="inlineStr">
        <is>
          <t>2XL</t>
        </is>
      </c>
      <c r="I2705" s="0">
        <v>91.99</v>
      </c>
      <c r="J2705" s="0">
        <v>0</v>
      </c>
    </row>
    <row r="2706" spans="1:10" customHeight="0">
      <c r="A2706" s="0">
        <f>HYPERLINK("https://dl.dropboxusercontent.com/scl/fi/606132bkmfvw17kw5il2r/daphnei.jpg?rlkey=rw0ia9xydvi4mf24r7malrl5v&amp;dl=0","Click to download Image")</f>
      </c>
      <c r="B2706" s="0">
        <f>HYPERLINK("https://dl.dropboxusercontent.com/scl/fi/iku8na31928lwt856q85k/womens-size-chartsdaphne.jpg?rlkey=josqtgxxmch61lzdzk3t7qprg&amp;dl=0","Click to download SizeChart")</f>
      </c>
      <c r="C2706" s="0" t="inlineStr">
        <is>
          <t>Daphne Women's Bomber Jacket</t>
        </is>
      </c>
      <c r="D2706" s="1">
        <v>111930</v>
      </c>
      <c r="E2706" s="0" t="inlineStr">
        <is>
          <t>IOWA DAPHNE BLACK:111930F-3XL</t>
        </is>
      </c>
      <c r="F2706" s="2">
        <v>800111930094</v>
      </c>
      <c r="G2706" s="0" t="inlineStr">
        <is>
          <t>WOMENS</t>
        </is>
      </c>
      <c r="H2706" s="0" t="inlineStr">
        <is>
          <t>3XL</t>
        </is>
      </c>
      <c r="I2706" s="0">
        <v>91.99</v>
      </c>
      <c r="J2706" s="0">
        <v>4</v>
      </c>
    </row>
    <row r="2707" spans="1:10" customHeight="0">
      <c r="A2707" s="0">
        <f>HYPERLINK("https://dl.dropboxusercontent.com/scl/fi/oczibhmjua65azcc6wy07/109013f81285.jpg?rlkey=hv0630tzq418ifvcivtgsy0z4&amp;dl=0","Click to download Image")</f>
      </c>
      <c r="B2707" s="0">
        <f>HYPERLINK("https://dl.dropboxusercontent.com/scl/fi/jaoohvz0bo48cnwwumg62/8-19womens-fitted.jpg?rlkey=6y6r44srifpjz3a8epss8z98s&amp;dl=0","Click to download SizeChart")</f>
      </c>
      <c r="C2707" s="0" t="inlineStr">
        <is>
          <t>Jacqueline Women's Quilted Puffer Jacket</t>
        </is>
      </c>
      <c r="D2707" s="1">
        <v>109013</v>
      </c>
      <c r="E2707" s="0" t="inlineStr">
        <is>
          <t>IA JACQUELINE - SILVER:109013A-S</t>
        </is>
      </c>
      <c r="F2707" s="2">
        <v>800109013013</v>
      </c>
      <c r="G2707" s="0" t="inlineStr">
        <is>
          <t>WOMENS</t>
        </is>
      </c>
      <c r="H2707" s="0" t="inlineStr">
        <is>
          <t>S</t>
        </is>
      </c>
      <c r="I2707" s="0">
        <v>129.99</v>
      </c>
      <c r="J2707" s="0">
        <v>6</v>
      </c>
    </row>
    <row r="2708" spans="1:10" customHeight="0">
      <c r="A2708" s="0">
        <f>HYPERLINK("https://dl.dropboxusercontent.com/scl/fi/oczibhmjua65azcc6wy07/109013f81285.jpg?rlkey=hv0630tzq418ifvcivtgsy0z4&amp;dl=0","Click to download Image")</f>
      </c>
      <c r="B2708" s="0">
        <f>HYPERLINK("https://dl.dropboxusercontent.com/scl/fi/jaoohvz0bo48cnwwumg62/8-19womens-fitted.jpg?rlkey=6y6r44srifpjz3a8epss8z98s&amp;dl=0","Click to download SizeChart")</f>
      </c>
      <c r="C2708" s="0" t="inlineStr">
        <is>
          <t>Jacqueline Women's Quilted Puffer Jacket</t>
        </is>
      </c>
      <c r="D2708" s="1">
        <v>109013</v>
      </c>
      <c r="E2708" s="0" t="inlineStr">
        <is>
          <t>IA JACQUELINE - SILVER:109013B-M</t>
        </is>
      </c>
      <c r="F2708" s="2">
        <v>800109013020</v>
      </c>
      <c r="G2708" s="0" t="inlineStr">
        <is>
          <t>WOMENS</t>
        </is>
      </c>
      <c r="H2708" s="0" t="inlineStr">
        <is>
          <t>M</t>
        </is>
      </c>
      <c r="I2708" s="0">
        <v>129.99</v>
      </c>
      <c r="J2708" s="0">
        <v>10</v>
      </c>
    </row>
    <row r="2709" spans="1:10" customHeight="0">
      <c r="A2709" s="0">
        <f>HYPERLINK("https://dl.dropboxusercontent.com/scl/fi/oczibhmjua65azcc6wy07/109013f81285.jpg?rlkey=hv0630tzq418ifvcivtgsy0z4&amp;dl=0","Click to download Image")</f>
      </c>
      <c r="B2709" s="0">
        <f>HYPERLINK("https://dl.dropboxusercontent.com/scl/fi/jaoohvz0bo48cnwwumg62/8-19womens-fitted.jpg?rlkey=6y6r44srifpjz3a8epss8z98s&amp;dl=0","Click to download SizeChart")</f>
      </c>
      <c r="C2709" s="0" t="inlineStr">
        <is>
          <t>Jacqueline Women's Quilted Puffer Jacket</t>
        </is>
      </c>
      <c r="D2709" s="1">
        <v>109013</v>
      </c>
      <c r="E2709" s="0" t="inlineStr">
        <is>
          <t>IA JACQUELINE - SILVER:109013C-L</t>
        </is>
      </c>
      <c r="F2709" s="2">
        <v>800109013037</v>
      </c>
      <c r="G2709" s="0" t="inlineStr">
        <is>
          <t>WOMENS</t>
        </is>
      </c>
      <c r="H2709" s="0" t="inlineStr">
        <is>
          <t>L</t>
        </is>
      </c>
      <c r="I2709" s="0">
        <v>129.99</v>
      </c>
      <c r="J2709" s="0">
        <v>8</v>
      </c>
    </row>
    <row r="2710" spans="1:10" customHeight="0">
      <c r="A2710" s="0">
        <f>HYPERLINK("https://dl.dropboxusercontent.com/scl/fi/oczibhmjua65azcc6wy07/109013f81285.jpg?rlkey=hv0630tzq418ifvcivtgsy0z4&amp;dl=0","Click to download Image")</f>
      </c>
      <c r="B2710" s="0">
        <f>HYPERLINK("https://dl.dropboxusercontent.com/scl/fi/jaoohvz0bo48cnwwumg62/8-19womens-fitted.jpg?rlkey=6y6r44srifpjz3a8epss8z98s&amp;dl=0","Click to download SizeChart")</f>
      </c>
      <c r="C2710" s="0" t="inlineStr">
        <is>
          <t>Jacqueline Women's Quilted Puffer Jacket</t>
        </is>
      </c>
      <c r="D2710" s="1">
        <v>109013</v>
      </c>
      <c r="E2710" s="0" t="inlineStr">
        <is>
          <t>IA JACQUELINE - SILVER:109013D-XL</t>
        </is>
      </c>
      <c r="F2710" s="2">
        <v>800109013044</v>
      </c>
      <c r="G2710" s="0" t="inlineStr">
        <is>
          <t>WOMENS</t>
        </is>
      </c>
      <c r="H2710" s="0" t="inlineStr">
        <is>
          <t>XL</t>
        </is>
      </c>
      <c r="I2710" s="0">
        <v>129.99</v>
      </c>
      <c r="J2710" s="0">
        <v>2</v>
      </c>
    </row>
    <row r="2711" spans="1:10" customHeight="0">
      <c r="A2711" s="0">
        <f>HYPERLINK("https://dl.dropboxusercontent.com/scl/fi/oczibhmjua65azcc6wy07/109013f81285.jpg?rlkey=hv0630tzq418ifvcivtgsy0z4&amp;dl=0","Click to download Image")</f>
      </c>
      <c r="B2711" s="0">
        <f>HYPERLINK("https://dl.dropboxusercontent.com/scl/fi/jaoohvz0bo48cnwwumg62/8-19womens-fitted.jpg?rlkey=6y6r44srifpjz3a8epss8z98s&amp;dl=0","Click to download SizeChart")</f>
      </c>
      <c r="C2711" s="0" t="inlineStr">
        <is>
          <t>Jacqueline Women's Quilted Puffer Jacket</t>
        </is>
      </c>
      <c r="D2711" s="1">
        <v>109013</v>
      </c>
      <c r="E2711" s="0" t="inlineStr">
        <is>
          <t>IA JACQUELINE - SILVER:109013E-2XL</t>
        </is>
      </c>
      <c r="F2711" s="2">
        <v>800109013051</v>
      </c>
      <c r="G2711" s="0" t="inlineStr">
        <is>
          <t>WOMENS</t>
        </is>
      </c>
      <c r="H2711" s="0" t="inlineStr">
        <is>
          <t>2XL</t>
        </is>
      </c>
      <c r="I2711" s="0">
        <v>131.99</v>
      </c>
      <c r="J2711" s="0">
        <v>2</v>
      </c>
    </row>
    <row r="2712" spans="1:10" customHeight="0">
      <c r="A2712" s="0">
        <f>HYPERLINK("https://dl.dropboxusercontent.com/scl/fi/oczibhmjua65azcc6wy07/109013f81285.jpg?rlkey=hv0630tzq418ifvcivtgsy0z4&amp;dl=0","Click to download Image")</f>
      </c>
      <c r="B2712" s="0">
        <f>HYPERLINK("https://dl.dropboxusercontent.com/scl/fi/jaoohvz0bo48cnwwumg62/8-19womens-fitted.jpg?rlkey=6y6r44srifpjz3a8epss8z98s&amp;dl=0","Click to download SizeChart")</f>
      </c>
      <c r="C2712" s="0" t="inlineStr">
        <is>
          <t>Jacqueline Women's Quilted Puffer Jacket</t>
        </is>
      </c>
      <c r="D2712" s="1">
        <v>109013</v>
      </c>
      <c r="E2712" s="0" t="inlineStr">
        <is>
          <t>IA JACQUELINE - SILVER:109013F-3XL</t>
        </is>
      </c>
      <c r="F2712" s="2">
        <v>800109013068</v>
      </c>
      <c r="G2712" s="0" t="inlineStr">
        <is>
          <t>WOMENS</t>
        </is>
      </c>
      <c r="H2712" s="0" t="inlineStr">
        <is>
          <t>3XL</t>
        </is>
      </c>
      <c r="I2712" s="0">
        <v>131.99</v>
      </c>
      <c r="J2712" s="0">
        <v>1</v>
      </c>
    </row>
    <row r="2713" spans="1:10" customHeight="0">
      <c r="A2713" s="0">
        <f>HYPERLINK("https://dl.dropboxusercontent.com/scl/fi/lpghnz039tcdk6lcv7xkm/109023f51678.jpg?rlkey=cyfprqiaf0jjerbkvjypjb3kc&amp;dl=0","Click to download Image")</f>
      </c>
      <c r="B2713" s="0">
        <f>HYPERLINK("https://dl.dropboxusercontent.com/scl/fi/jaoohvz0bo48cnwwumg62/8-19womens-fitted.jpg?rlkey=6y6r44srifpjz3a8epss8z98s&amp;dl=0","Click to download SizeChart")</f>
      </c>
      <c r="C2713" s="0" t="inlineStr">
        <is>
          <t>Jacqueline Women's Quilted Puffer Jacket</t>
        </is>
      </c>
      <c r="D2713" s="1">
        <v>109023</v>
      </c>
      <c r="E2713" s="0" t="inlineStr">
        <is>
          <t>IA JACQUELINE - WHITE:109023A-S</t>
        </is>
      </c>
      <c r="F2713" s="2">
        <v>800109023012</v>
      </c>
      <c r="G2713" s="0" t="inlineStr">
        <is>
          <t>WOMENS</t>
        </is>
      </c>
      <c r="H2713" s="0" t="inlineStr">
        <is>
          <t>S</t>
        </is>
      </c>
      <c r="I2713" s="0">
        <v>129.99</v>
      </c>
      <c r="J2713" s="0">
        <v>2</v>
      </c>
    </row>
    <row r="2714" spans="1:10" customHeight="0">
      <c r="A2714" s="0">
        <f>HYPERLINK("https://dl.dropboxusercontent.com/scl/fi/lpghnz039tcdk6lcv7xkm/109023f51678.jpg?rlkey=cyfprqiaf0jjerbkvjypjb3kc&amp;dl=0","Click to download Image")</f>
      </c>
      <c r="B2714" s="0">
        <f>HYPERLINK("https://dl.dropboxusercontent.com/scl/fi/jaoohvz0bo48cnwwumg62/8-19womens-fitted.jpg?rlkey=6y6r44srifpjz3a8epss8z98s&amp;dl=0","Click to download SizeChart")</f>
      </c>
      <c r="C2714" s="0" t="inlineStr">
        <is>
          <t>Jacqueline Women's Quilted Puffer Jacket</t>
        </is>
      </c>
      <c r="D2714" s="1">
        <v>109023</v>
      </c>
      <c r="E2714" s="0" t="inlineStr">
        <is>
          <t>IA JACQUELINE - WHITE:109023B-M</t>
        </is>
      </c>
      <c r="F2714" s="2">
        <v>800109023029</v>
      </c>
      <c r="G2714" s="0" t="inlineStr">
        <is>
          <t>WOMENS</t>
        </is>
      </c>
      <c r="H2714" s="0" t="inlineStr">
        <is>
          <t>M</t>
        </is>
      </c>
      <c r="I2714" s="0">
        <v>129.99</v>
      </c>
      <c r="J2714" s="0">
        <v>2</v>
      </c>
    </row>
    <row r="2715" spans="1:10" customHeight="0">
      <c r="A2715" s="0">
        <f>HYPERLINK("https://dl.dropboxusercontent.com/scl/fi/lpghnz039tcdk6lcv7xkm/109023f51678.jpg?rlkey=cyfprqiaf0jjerbkvjypjb3kc&amp;dl=0","Click to download Image")</f>
      </c>
      <c r="B2715" s="0">
        <f>HYPERLINK("https://dl.dropboxusercontent.com/scl/fi/jaoohvz0bo48cnwwumg62/8-19womens-fitted.jpg?rlkey=6y6r44srifpjz3a8epss8z98s&amp;dl=0","Click to download SizeChart")</f>
      </c>
      <c r="C2715" s="0" t="inlineStr">
        <is>
          <t>Jacqueline Women's Quilted Puffer Jacket</t>
        </is>
      </c>
      <c r="D2715" s="1">
        <v>109023</v>
      </c>
      <c r="E2715" s="0" t="inlineStr">
        <is>
          <t>IA JACQUELINE - WHITE:109023C-L</t>
        </is>
      </c>
      <c r="F2715" s="2">
        <v>800109023036</v>
      </c>
      <c r="G2715" s="0" t="inlineStr">
        <is>
          <t>WOMENS</t>
        </is>
      </c>
      <c r="H2715" s="0" t="inlineStr">
        <is>
          <t>L</t>
        </is>
      </c>
      <c r="I2715" s="0">
        <v>129.99</v>
      </c>
      <c r="J2715" s="0">
        <v>3</v>
      </c>
    </row>
    <row r="2716" spans="1:10" customHeight="0">
      <c r="A2716" s="0">
        <f>HYPERLINK("https://dl.dropboxusercontent.com/scl/fi/lpghnz039tcdk6lcv7xkm/109023f51678.jpg?rlkey=cyfprqiaf0jjerbkvjypjb3kc&amp;dl=0","Click to download Image")</f>
      </c>
      <c r="B2716" s="0">
        <f>HYPERLINK("https://dl.dropboxusercontent.com/scl/fi/jaoohvz0bo48cnwwumg62/8-19womens-fitted.jpg?rlkey=6y6r44srifpjz3a8epss8z98s&amp;dl=0","Click to download SizeChart")</f>
      </c>
      <c r="C2716" s="0" t="inlineStr">
        <is>
          <t>Jacqueline Women's Quilted Puffer Jacket</t>
        </is>
      </c>
      <c r="D2716" s="1">
        <v>109023</v>
      </c>
      <c r="E2716" s="0" t="inlineStr">
        <is>
          <t>IA JACQUELINE - WHITE:109023D-XL</t>
        </is>
      </c>
      <c r="F2716" s="2">
        <v>800109023043</v>
      </c>
      <c r="G2716" s="0" t="inlineStr">
        <is>
          <t>WOMENS</t>
        </is>
      </c>
      <c r="H2716" s="0" t="inlineStr">
        <is>
          <t>XL</t>
        </is>
      </c>
      <c r="I2716" s="0">
        <v>129.99</v>
      </c>
      <c r="J2716" s="0">
        <v>0</v>
      </c>
    </row>
    <row r="2717" spans="1:10" customHeight="0">
      <c r="A2717" s="0">
        <f>HYPERLINK("https://dl.dropboxusercontent.com/scl/fi/lpghnz039tcdk6lcv7xkm/109023f51678.jpg?rlkey=cyfprqiaf0jjerbkvjypjb3kc&amp;dl=0","Click to download Image")</f>
      </c>
      <c r="B2717" s="0">
        <f>HYPERLINK("https://dl.dropboxusercontent.com/scl/fi/jaoohvz0bo48cnwwumg62/8-19womens-fitted.jpg?rlkey=6y6r44srifpjz3a8epss8z98s&amp;dl=0","Click to download SizeChart")</f>
      </c>
      <c r="C2717" s="0" t="inlineStr">
        <is>
          <t>Jacqueline Women's Quilted Puffer Jacket</t>
        </is>
      </c>
      <c r="D2717" s="1">
        <v>109023</v>
      </c>
      <c r="E2717" s="0" t="inlineStr">
        <is>
          <t>IA JACQUELINE - WHITE:109023E-2XL</t>
        </is>
      </c>
      <c r="F2717" s="2">
        <v>800109023050</v>
      </c>
      <c r="G2717" s="0" t="inlineStr">
        <is>
          <t>WOMENS</t>
        </is>
      </c>
      <c r="H2717" s="0" t="inlineStr">
        <is>
          <t>2XL</t>
        </is>
      </c>
      <c r="I2717" s="0">
        <v>131.99</v>
      </c>
      <c r="J2717" s="0">
        <v>0</v>
      </c>
    </row>
    <row r="2718" spans="1:10" customHeight="0">
      <c r="A2718" s="0">
        <f>HYPERLINK("https://dl.dropboxusercontent.com/scl/fi/lpghnz039tcdk6lcv7xkm/109023f51678.jpg?rlkey=cyfprqiaf0jjerbkvjypjb3kc&amp;dl=0","Click to download Image")</f>
      </c>
      <c r="B2718" s="0">
        <f>HYPERLINK("https://dl.dropboxusercontent.com/scl/fi/jaoohvz0bo48cnwwumg62/8-19womens-fitted.jpg?rlkey=6y6r44srifpjz3a8epss8z98s&amp;dl=0","Click to download SizeChart")</f>
      </c>
      <c r="C2718" s="0" t="inlineStr">
        <is>
          <t>Jacqueline Women's Quilted Puffer Jacket</t>
        </is>
      </c>
      <c r="D2718" s="1">
        <v>109023</v>
      </c>
      <c r="E2718" s="0" t="inlineStr">
        <is>
          <t>IA JACQUELINE - WHITE:109023F-3XL</t>
        </is>
      </c>
      <c r="F2718" s="2">
        <v>800109023067</v>
      </c>
      <c r="G2718" s="0" t="inlineStr">
        <is>
          <t>WOMENS</t>
        </is>
      </c>
      <c r="H2718" s="0" t="inlineStr">
        <is>
          <t>3XL</t>
        </is>
      </c>
      <c r="I2718" s="0">
        <v>131.99</v>
      </c>
      <c r="J2718" s="0">
        <v>0</v>
      </c>
    </row>
    <row r="2719" spans="1:10" customHeight="0">
      <c r="A2719" s="0">
        <f>HYPERLINK("https://dl.dropboxusercontent.com/scl/fi/w8p4tc66pav85xk6mmbx6/102962-af1.jpg?rlkey=xkrplfcy5ct3obj9qhbnx5ugl&amp;dl=0","Click to download Image")</f>
      </c>
      <c r="C2719" s="0" t="inlineStr">
        <is>
          <t>Wade Swim Trunks</t>
        </is>
      </c>
      <c r="D2719" s="1">
        <v>104340</v>
      </c>
      <c r="E2719" s="0" t="inlineStr">
        <is>
          <t>WADE:102962A-2T</t>
        </is>
      </c>
      <c r="G2719" s="0" t="inlineStr">
        <is>
          <t>TODDLER</t>
        </is>
      </c>
      <c r="H2719" s="0" t="inlineStr">
        <is>
          <t>2T</t>
        </is>
      </c>
      <c r="I2719" s="0">
        <v>24.99</v>
      </c>
      <c r="J2719" s="0">
        <v>102</v>
      </c>
    </row>
    <row r="2720" spans="1:10" customHeight="0">
      <c r="A2720" s="0">
        <f>HYPERLINK("https://dl.dropboxusercontent.com/scl/fi/w8p4tc66pav85xk6mmbx6/102962-af1.jpg?rlkey=xkrplfcy5ct3obj9qhbnx5ugl&amp;dl=0","Click to download Image")</f>
      </c>
      <c r="C2720" s="0" t="inlineStr">
        <is>
          <t>Wade Swim Trunks</t>
        </is>
      </c>
      <c r="D2720" s="1">
        <v>104340</v>
      </c>
      <c r="E2720" s="0" t="inlineStr">
        <is>
          <t>WADE:102962B-3T</t>
        </is>
      </c>
      <c r="G2720" s="0" t="inlineStr">
        <is>
          <t>TODDLER</t>
        </is>
      </c>
      <c r="H2720" s="0" t="inlineStr">
        <is>
          <t>3T</t>
        </is>
      </c>
      <c r="I2720" s="0">
        <v>24.99</v>
      </c>
      <c r="J2720" s="0">
        <v>98</v>
      </c>
    </row>
    <row r="2721" spans="1:10" customHeight="0">
      <c r="A2721" s="0">
        <f>HYPERLINK("https://dl.dropboxusercontent.com/scl/fi/w8p4tc66pav85xk6mmbx6/102962-af1.jpg?rlkey=xkrplfcy5ct3obj9qhbnx5ugl&amp;dl=0","Click to download Image")</f>
      </c>
      <c r="C2721" s="0" t="inlineStr">
        <is>
          <t>Wade Swim Trunks</t>
        </is>
      </c>
      <c r="D2721" s="1">
        <v>104340</v>
      </c>
      <c r="E2721" s="0" t="inlineStr">
        <is>
          <t>WADE:102962C-4T</t>
        </is>
      </c>
      <c r="G2721" s="0" t="inlineStr">
        <is>
          <t>TODDLER</t>
        </is>
      </c>
      <c r="H2721" s="0" t="inlineStr">
        <is>
          <t>4T</t>
        </is>
      </c>
      <c r="I2721" s="0">
        <v>24.99</v>
      </c>
      <c r="J2721" s="0">
        <v>97</v>
      </c>
    </row>
    <row r="2722" spans="1:10" customHeight="0">
      <c r="A2722" s="0">
        <f>HYPERLINK("https://dl.dropboxusercontent.com/scl/fi/w8p4tc66pav85xk6mmbx6/102962-af1.jpg?rlkey=xkrplfcy5ct3obj9qhbnx5ugl&amp;dl=0","Click to download Image")</f>
      </c>
      <c r="C2722" s="0" t="inlineStr">
        <is>
          <t>Wade Swim Trunks</t>
        </is>
      </c>
      <c r="D2722" s="1">
        <v>104340</v>
      </c>
      <c r="E2722" s="0" t="inlineStr">
        <is>
          <t>WADE:102962D-5T</t>
        </is>
      </c>
      <c r="G2722" s="0" t="inlineStr">
        <is>
          <t>TODDLER</t>
        </is>
      </c>
      <c r="H2722" s="0" t="inlineStr">
        <is>
          <t>5T</t>
        </is>
      </c>
      <c r="I2722" s="0">
        <v>24.99</v>
      </c>
      <c r="J2722" s="0">
        <v>107</v>
      </c>
    </row>
    <row r="2723" spans="1:10" customHeight="0">
      <c r="A2723" s="0">
        <f>HYPERLINK("https://dl.dropboxusercontent.com/scl/fi/kk8tptb1uzdxspgiohrsl/113840af.jpg?rlkey=00pzrqkhvzoqjwazn8je42vp2&amp;dl=0","Click to download Image")</f>
      </c>
      <c r="C2723" s="0" t="inlineStr">
        <is>
          <t>Heart Cotton Cap</t>
        </is>
      </c>
      <c r="D2723" s="1">
        <v>113840</v>
      </c>
      <c r="E2723" s="0" t="inlineStr">
        <is>
          <t>IOWA BLACK HEART:113840</t>
        </is>
      </c>
      <c r="F2723" s="2">
        <v>700113840011</v>
      </c>
      <c r="G2723" s="0" t="inlineStr">
        <is>
          <t>WOMENS</t>
        </is>
      </c>
      <c r="H2723" s="0" t="inlineStr">
        <is>
          <t>WOMENS</t>
        </is>
      </c>
      <c r="I2723" s="0">
        <v>12.99</v>
      </c>
      <c r="J2723" s="0">
        <v>223</v>
      </c>
    </row>
    <row r="2724" spans="1:10" customHeight="0">
      <c r="A2724" s="0">
        <f>HYPERLINK("https://dl.dropboxusercontent.com/scl/fi/19p007owtg4z3hfgiifcs/113479t.jpg?rlkey=dux0dwe7hsapm2qugvb76h7t8&amp;dl=0","Click to download Image")</f>
      </c>
      <c r="C2724" s="0" t="inlineStr">
        <is>
          <t>Lambert ANF Cap</t>
        </is>
      </c>
      <c r="D2724" s="1">
        <v>113479</v>
      </c>
      <c r="E2724" s="0" t="inlineStr">
        <is>
          <t>IOWA LAMBERT:113479</t>
        </is>
      </c>
      <c r="F2724" s="2">
        <v>700113479006</v>
      </c>
      <c r="G2724" s="0" t="inlineStr">
        <is>
          <t>MENS</t>
        </is>
      </c>
      <c r="H2724" s="0" t="inlineStr">
        <is>
          <t>STANDARD MENS</t>
        </is>
      </c>
      <c r="I2724" s="0">
        <v>18.99</v>
      </c>
      <c r="J2724" s="0">
        <v>159</v>
      </c>
    </row>
    <row r="2725" spans="1:10" customHeight="0">
      <c r="A2725" s="0">
        <f>HYPERLINK("https://dl.dropboxusercontent.com/scl/fi/sb9l5lql5jdl16bwk2etw/103971-af.jpg?rlkey=x2ninn51iwhyzz8xg3f37q0ef&amp;dl=0","Click to download Image")</f>
      </c>
      <c r="B2725" s="0">
        <f>HYPERLINK("https://dl.dropboxusercontent.com/scl/fi/455fgysjwyfej8w4sfu2f/10-18-size-chartswomens.jpg?rlkey=0vom369x2z5x2bvc21rgmajtp&amp;dl=0","Click to download SizeChart")</f>
      </c>
      <c r="C2725" s="0" t="inlineStr">
        <is>
          <t>Silverman Women's Shorts</t>
        </is>
      </c>
      <c r="D2725" s="1">
        <v>103971</v>
      </c>
      <c r="E2725" s="0" t="inlineStr">
        <is>
          <t>SILVERMAN:103971A-4</t>
        </is>
      </c>
      <c r="G2725" s="0" t="inlineStr">
        <is>
          <t>WOMENS</t>
        </is>
      </c>
      <c r="H2725" s="0" t="inlineStr">
        <is>
          <t>4</t>
        </is>
      </c>
      <c r="I2725" s="0">
        <v>42.99</v>
      </c>
      <c r="J2725" s="0">
        <v>60</v>
      </c>
    </row>
    <row r="2726" spans="1:10" customHeight="0">
      <c r="A2726" s="0">
        <f>HYPERLINK("https://dl.dropboxusercontent.com/scl/fi/sb9l5lql5jdl16bwk2etw/103971-af.jpg?rlkey=x2ninn51iwhyzz8xg3f37q0ef&amp;dl=0","Click to download Image")</f>
      </c>
      <c r="B2726" s="0">
        <f>HYPERLINK("https://dl.dropboxusercontent.com/scl/fi/455fgysjwyfej8w4sfu2f/10-18-size-chartswomens.jpg?rlkey=0vom369x2z5x2bvc21rgmajtp&amp;dl=0","Click to download SizeChart")</f>
      </c>
      <c r="C2726" s="0" t="inlineStr">
        <is>
          <t>Silverman Women's Shorts</t>
        </is>
      </c>
      <c r="D2726" s="1">
        <v>103971</v>
      </c>
      <c r="E2726" s="0" t="inlineStr">
        <is>
          <t>SILVERMAN:103971B-6</t>
        </is>
      </c>
      <c r="G2726" s="0" t="inlineStr">
        <is>
          <t>WOMENS</t>
        </is>
      </c>
      <c r="H2726" s="0" t="inlineStr">
        <is>
          <t>6</t>
        </is>
      </c>
      <c r="I2726" s="0">
        <v>42.99</v>
      </c>
      <c r="J2726" s="0">
        <v>87</v>
      </c>
    </row>
    <row r="2727" spans="1:10" customHeight="0">
      <c r="A2727" s="0">
        <f>HYPERLINK("https://dl.dropboxusercontent.com/scl/fi/sb9l5lql5jdl16bwk2etw/103971-af.jpg?rlkey=x2ninn51iwhyzz8xg3f37q0ef&amp;dl=0","Click to download Image")</f>
      </c>
      <c r="B2727" s="0">
        <f>HYPERLINK("https://dl.dropboxusercontent.com/scl/fi/455fgysjwyfej8w4sfu2f/10-18-size-chartswomens.jpg?rlkey=0vom369x2z5x2bvc21rgmajtp&amp;dl=0","Click to download SizeChart")</f>
      </c>
      <c r="C2727" s="0" t="inlineStr">
        <is>
          <t>Silverman Women's Shorts</t>
        </is>
      </c>
      <c r="D2727" s="1">
        <v>103971</v>
      </c>
      <c r="E2727" s="0" t="inlineStr">
        <is>
          <t>SILVERMAN:103971C-8</t>
        </is>
      </c>
      <c r="G2727" s="0" t="inlineStr">
        <is>
          <t>WOMENS</t>
        </is>
      </c>
      <c r="H2727" s="0" t="inlineStr">
        <is>
          <t>8</t>
        </is>
      </c>
      <c r="I2727" s="0">
        <v>42.99</v>
      </c>
      <c r="J2727" s="0">
        <v>118</v>
      </c>
    </row>
    <row r="2728" spans="1:10" customHeight="0">
      <c r="A2728" s="0">
        <f>HYPERLINK("https://dl.dropboxusercontent.com/scl/fi/sb9l5lql5jdl16bwk2etw/103971-af.jpg?rlkey=x2ninn51iwhyzz8xg3f37q0ef&amp;dl=0","Click to download Image")</f>
      </c>
      <c r="B2728" s="0">
        <f>HYPERLINK("https://dl.dropboxusercontent.com/scl/fi/455fgysjwyfej8w4sfu2f/10-18-size-chartswomens.jpg?rlkey=0vom369x2z5x2bvc21rgmajtp&amp;dl=0","Click to download SizeChart")</f>
      </c>
      <c r="C2728" s="0" t="inlineStr">
        <is>
          <t>Silverman Women's Shorts</t>
        </is>
      </c>
      <c r="D2728" s="1">
        <v>103971</v>
      </c>
      <c r="E2728" s="0" t="inlineStr">
        <is>
          <t>SILVERMAN:103971D-10</t>
        </is>
      </c>
      <c r="G2728" s="0" t="inlineStr">
        <is>
          <t>WOMENS</t>
        </is>
      </c>
      <c r="H2728" s="0" t="inlineStr">
        <is>
          <t>10</t>
        </is>
      </c>
      <c r="I2728" s="0">
        <v>42.99</v>
      </c>
      <c r="J2728" s="0">
        <v>119</v>
      </c>
    </row>
    <row r="2729" spans="1:10" customHeight="0">
      <c r="A2729" s="0">
        <f>HYPERLINK("https://dl.dropboxusercontent.com/scl/fi/sb9l5lql5jdl16bwk2etw/103971-af.jpg?rlkey=x2ninn51iwhyzz8xg3f37q0ef&amp;dl=0","Click to download Image")</f>
      </c>
      <c r="B2729" s="0">
        <f>HYPERLINK("https://dl.dropboxusercontent.com/scl/fi/455fgysjwyfej8w4sfu2f/10-18-size-chartswomens.jpg?rlkey=0vom369x2z5x2bvc21rgmajtp&amp;dl=0","Click to download SizeChart")</f>
      </c>
      <c r="C2729" s="0" t="inlineStr">
        <is>
          <t>Silverman Women's Shorts</t>
        </is>
      </c>
      <c r="D2729" s="1">
        <v>103971</v>
      </c>
      <c r="E2729" s="0" t="inlineStr">
        <is>
          <t>SILVERMAN:103971E-12</t>
        </is>
      </c>
      <c r="G2729" s="0" t="inlineStr">
        <is>
          <t>WOMENS</t>
        </is>
      </c>
      <c r="H2729" s="0" t="inlineStr">
        <is>
          <t>12</t>
        </is>
      </c>
      <c r="I2729" s="0">
        <v>42.99</v>
      </c>
      <c r="J2729" s="0">
        <v>79</v>
      </c>
    </row>
    <row r="2730" spans="1:10" customHeight="0">
      <c r="A2730" s="0">
        <f>HYPERLINK("https://dl.dropboxusercontent.com/scl/fi/sb9l5lql5jdl16bwk2etw/103971-af.jpg?rlkey=x2ninn51iwhyzz8xg3f37q0ef&amp;dl=0","Click to download Image")</f>
      </c>
      <c r="B2730" s="0">
        <f>HYPERLINK("https://dl.dropboxusercontent.com/scl/fi/455fgysjwyfej8w4sfu2f/10-18-size-chartswomens.jpg?rlkey=0vom369x2z5x2bvc21rgmajtp&amp;dl=0","Click to download SizeChart")</f>
      </c>
      <c r="C2730" s="0" t="inlineStr">
        <is>
          <t>Silverman Women's Shorts</t>
        </is>
      </c>
      <c r="D2730" s="1">
        <v>103971</v>
      </c>
      <c r="E2730" s="0" t="inlineStr">
        <is>
          <t>SILVERMAN:103971F-14</t>
        </is>
      </c>
      <c r="G2730" s="0" t="inlineStr">
        <is>
          <t>WOMENS</t>
        </is>
      </c>
      <c r="H2730" s="0" t="inlineStr">
        <is>
          <t>14</t>
        </is>
      </c>
      <c r="I2730" s="0">
        <v>42.99</v>
      </c>
      <c r="J2730" s="0">
        <v>29</v>
      </c>
    </row>
    <row r="2731" spans="1:10" customHeight="0">
      <c r="A2731" s="0">
        <f>HYPERLINK("https://dl.dropboxusercontent.com/scl/fi/ncsqjb56lqyox7qoahki6/111826af89243.jpg?rlkey=2hb7wkj4kn03jqya9s4r6nlju&amp;dl=0","Click to download Image")</f>
      </c>
      <c r="B2731" s="0">
        <f>HYPERLINK("https://dl.dropboxusercontent.com/scl/fi/rpr4zfb2j3jgsrlhcioa3/womens-t-shirt-size-chartsgabby.jpg?rlkey=63s7efuzvkechpzqcb8mp1smj&amp;dl=0","Click to download SizeChart")</f>
      </c>
      <c r="C2731" s="0" t="inlineStr">
        <is>
          <t>Gabby Performance Long Sleeve</t>
        </is>
      </c>
      <c r="D2731" s="1">
        <v>111826</v>
      </c>
      <c r="E2731" s="0" t="inlineStr">
        <is>
          <t>IOWA GABBY BLACK:111826AA-XS</t>
        </is>
      </c>
      <c r="F2731" s="2">
        <v>800111826038</v>
      </c>
      <c r="G2731" s="0" t="inlineStr">
        <is>
          <t>WOMENS</t>
        </is>
      </c>
      <c r="H2731" s="0" t="inlineStr">
        <is>
          <t>XS</t>
        </is>
      </c>
      <c r="I2731" s="0">
        <v>29.99</v>
      </c>
      <c r="J2731" s="0">
        <v>7</v>
      </c>
    </row>
    <row r="2732" spans="1:10" customHeight="0">
      <c r="A2732" s="0">
        <f>HYPERLINK("https://dl.dropboxusercontent.com/scl/fi/srozp9w89ov0v66hns26u/ariana.jpg?rlkey=ekzsi0pjvtfw3tgcytokeouzc&amp;dl=0","Click to download Image")</f>
      </c>
      <c r="B2732" s="0">
        <f>HYPERLINK("https://dl.dropboxusercontent.com/scl/fi/5kx98lgdw8zhb8b0z868t/womens-size-chartsariana.jpg?rlkey=grlhrv7bdfqik07p2u69tuy00&amp;dl=0","Click to download SizeChart")</f>
      </c>
      <c r="C2732" s="0" t="inlineStr">
        <is>
          <t>Ariana Crop Jacket</t>
        </is>
      </c>
      <c r="D2732" s="1">
        <v>111792</v>
      </c>
      <c r="E2732" s="0" t="inlineStr">
        <is>
          <t>IOWA ARIANA WHITE:111792AA-XS</t>
        </is>
      </c>
      <c r="F2732" s="2">
        <v>800111792036</v>
      </c>
      <c r="G2732" s="0" t="inlineStr">
        <is>
          <t>WOMENS</t>
        </is>
      </c>
      <c r="H2732" s="0" t="inlineStr">
        <is>
          <t>XS</t>
        </is>
      </c>
      <c r="I2732" s="0">
        <v>149.99</v>
      </c>
      <c r="J2732" s="0">
        <v>23</v>
      </c>
    </row>
    <row r="2733" spans="1:10" customHeight="0">
      <c r="A2733" s="0">
        <f>HYPERLINK("https://dl.dropboxusercontent.com/scl/fi/srozp9w89ov0v66hns26u/ariana.jpg?rlkey=ekzsi0pjvtfw3tgcytokeouzc&amp;dl=0","Click to download Image")</f>
      </c>
      <c r="B2733" s="0">
        <f>HYPERLINK("https://dl.dropboxusercontent.com/scl/fi/5kx98lgdw8zhb8b0z868t/womens-size-chartsariana.jpg?rlkey=grlhrv7bdfqik07p2u69tuy00&amp;dl=0","Click to download SizeChart")</f>
      </c>
      <c r="C2733" s="0" t="inlineStr">
        <is>
          <t>Ariana Crop Jacket</t>
        </is>
      </c>
      <c r="D2733" s="1">
        <v>111792</v>
      </c>
      <c r="E2733" s="0" t="inlineStr">
        <is>
          <t>IOWA ARIANA WHITE:111792A-S</t>
        </is>
      </c>
      <c r="F2733" s="2">
        <v>800111792043</v>
      </c>
      <c r="G2733" s="0" t="inlineStr">
        <is>
          <t>WOMENS</t>
        </is>
      </c>
      <c r="H2733" s="0" t="inlineStr">
        <is>
          <t>S</t>
        </is>
      </c>
      <c r="I2733" s="0">
        <v>149.99</v>
      </c>
      <c r="J2733" s="0">
        <v>35</v>
      </c>
    </row>
    <row r="2734" spans="1:10" customHeight="0">
      <c r="A2734" s="0">
        <f>HYPERLINK("https://dl.dropboxusercontent.com/scl/fi/srozp9w89ov0v66hns26u/ariana.jpg?rlkey=ekzsi0pjvtfw3tgcytokeouzc&amp;dl=0","Click to download Image")</f>
      </c>
      <c r="B2734" s="0">
        <f>HYPERLINK("https://dl.dropboxusercontent.com/scl/fi/5kx98lgdw8zhb8b0z868t/womens-size-chartsariana.jpg?rlkey=grlhrv7bdfqik07p2u69tuy00&amp;dl=0","Click to download SizeChart")</f>
      </c>
      <c r="C2734" s="0" t="inlineStr">
        <is>
          <t>Ariana Crop Jacket</t>
        </is>
      </c>
      <c r="D2734" s="1">
        <v>111792</v>
      </c>
      <c r="E2734" s="0" t="inlineStr">
        <is>
          <t>IOWA ARIANA WHITE:111792B-M</t>
        </is>
      </c>
      <c r="F2734" s="2">
        <v>800111792050</v>
      </c>
      <c r="G2734" s="0" t="inlineStr">
        <is>
          <t>WOMENS</t>
        </is>
      </c>
      <c r="H2734" s="0" t="inlineStr">
        <is>
          <t>M</t>
        </is>
      </c>
      <c r="I2734" s="0">
        <v>149.99</v>
      </c>
      <c r="J2734" s="0">
        <v>35</v>
      </c>
    </row>
    <row r="2735" spans="1:10" customHeight="0">
      <c r="A2735" s="0">
        <f>HYPERLINK("https://dl.dropboxusercontent.com/scl/fi/srozp9w89ov0v66hns26u/ariana.jpg?rlkey=ekzsi0pjvtfw3tgcytokeouzc&amp;dl=0","Click to download Image")</f>
      </c>
      <c r="B2735" s="0">
        <f>HYPERLINK("https://dl.dropboxusercontent.com/scl/fi/5kx98lgdw8zhb8b0z868t/womens-size-chartsariana.jpg?rlkey=grlhrv7bdfqik07p2u69tuy00&amp;dl=0","Click to download SizeChart")</f>
      </c>
      <c r="C2735" s="0" t="inlineStr">
        <is>
          <t>Ariana Crop Jacket</t>
        </is>
      </c>
      <c r="D2735" s="1">
        <v>111792</v>
      </c>
      <c r="E2735" s="0" t="inlineStr">
        <is>
          <t>IOWA ARIANA WHITE:111792C-L</t>
        </is>
      </c>
      <c r="F2735" s="2">
        <v>800111792067</v>
      </c>
      <c r="G2735" s="0" t="inlineStr">
        <is>
          <t>WOMENS</t>
        </is>
      </c>
      <c r="H2735" s="0" t="inlineStr">
        <is>
          <t>L</t>
        </is>
      </c>
      <c r="I2735" s="0">
        <v>149.99</v>
      </c>
      <c r="J2735" s="0">
        <v>22</v>
      </c>
    </row>
    <row r="2736" spans="1:10" customHeight="0">
      <c r="A2736" s="0">
        <f>HYPERLINK("https://dl.dropboxusercontent.com/scl/fi/srozp9w89ov0v66hns26u/ariana.jpg?rlkey=ekzsi0pjvtfw3tgcytokeouzc&amp;dl=0","Click to download Image")</f>
      </c>
      <c r="B2736" s="0">
        <f>HYPERLINK("https://dl.dropboxusercontent.com/scl/fi/5kx98lgdw8zhb8b0z868t/womens-size-chartsariana.jpg?rlkey=grlhrv7bdfqik07p2u69tuy00&amp;dl=0","Click to download SizeChart")</f>
      </c>
      <c r="C2736" s="0" t="inlineStr">
        <is>
          <t>Ariana Crop Jacket</t>
        </is>
      </c>
      <c r="D2736" s="1">
        <v>111792</v>
      </c>
      <c r="E2736" s="0" t="inlineStr">
        <is>
          <t>IOWA ARIANA WHITE:111792D-XL</t>
        </is>
      </c>
      <c r="F2736" s="2">
        <v>800111792074</v>
      </c>
      <c r="G2736" s="0" t="inlineStr">
        <is>
          <t>WOMENS</t>
        </is>
      </c>
      <c r="H2736" s="0" t="inlineStr">
        <is>
          <t>XL</t>
        </is>
      </c>
      <c r="I2736" s="0">
        <v>149.99</v>
      </c>
      <c r="J2736" s="0">
        <v>23</v>
      </c>
    </row>
    <row r="2737" spans="1:10" customHeight="0">
      <c r="A2737" s="0">
        <f>HYPERLINK("https://dl.dropboxusercontent.com/scl/fi/srozp9w89ov0v66hns26u/ariana.jpg?rlkey=ekzsi0pjvtfw3tgcytokeouzc&amp;dl=0","Click to download Image")</f>
      </c>
      <c r="B2737" s="0">
        <f>HYPERLINK("https://dl.dropboxusercontent.com/scl/fi/5kx98lgdw8zhb8b0z868t/womens-size-chartsariana.jpg?rlkey=grlhrv7bdfqik07p2u69tuy00&amp;dl=0","Click to download SizeChart")</f>
      </c>
      <c r="C2737" s="0" t="inlineStr">
        <is>
          <t>Ariana Crop Jacket</t>
        </is>
      </c>
      <c r="D2737" s="1">
        <v>111792</v>
      </c>
      <c r="E2737" s="0" t="inlineStr">
        <is>
          <t>IOWA ARIANA WHITE:111792E-2XL</t>
        </is>
      </c>
      <c r="F2737" s="2">
        <v>800111792081</v>
      </c>
      <c r="G2737" s="0" t="inlineStr">
        <is>
          <t>WOMENS</t>
        </is>
      </c>
      <c r="H2737" s="0" t="inlineStr">
        <is>
          <t>2XL</t>
        </is>
      </c>
      <c r="I2737" s="0">
        <v>151.99</v>
      </c>
      <c r="J2737" s="0">
        <v>10</v>
      </c>
    </row>
    <row r="2738" spans="1:10" customHeight="0">
      <c r="A2738" s="0">
        <f>HYPERLINK("https://dl.dropboxusercontent.com/scl/fi/srozp9w89ov0v66hns26u/ariana.jpg?rlkey=ekzsi0pjvtfw3tgcytokeouzc&amp;dl=0","Click to download Image")</f>
      </c>
      <c r="B2738" s="0">
        <f>HYPERLINK("https://dl.dropboxusercontent.com/scl/fi/5kx98lgdw8zhb8b0z868t/womens-size-chartsariana.jpg?rlkey=grlhrv7bdfqik07p2u69tuy00&amp;dl=0","Click to download SizeChart")</f>
      </c>
      <c r="C2738" s="0" t="inlineStr">
        <is>
          <t>Ariana Crop Jacket</t>
        </is>
      </c>
      <c r="D2738" s="1">
        <v>111792</v>
      </c>
      <c r="E2738" s="0" t="inlineStr">
        <is>
          <t>IOWA ARIANA WHITE:111792F-3XL</t>
        </is>
      </c>
      <c r="F2738" s="2">
        <v>800111792098</v>
      </c>
      <c r="G2738" s="0" t="inlineStr">
        <is>
          <t>WOMENS</t>
        </is>
      </c>
      <c r="H2738" s="0" t="inlineStr">
        <is>
          <t>3XL</t>
        </is>
      </c>
      <c r="I2738" s="0">
        <v>151.99</v>
      </c>
      <c r="J2738" s="0">
        <v>12</v>
      </c>
    </row>
    <row r="2739" spans="1:10" customHeight="0">
      <c r="A2739" s="0">
        <f>HYPERLINK("https://dl.dropboxusercontent.com/scl/fi/bbncmuiwgsepx2h6xkqxq/110910-af.jpg?rlkey=tghbyrerznt8atm78tm75e0tn&amp;dl=0","Click to download Image")</f>
      </c>
      <c r="C2739" s="0" t="inlineStr">
        <is>
          <t>Erica Button Infinity Scarf</t>
        </is>
      </c>
      <c r="D2739" s="1">
        <v>110910</v>
      </c>
      <c r="E2739" s="0" t="inlineStr">
        <is>
          <t>IOWA ERICA SCARF:110910</t>
        </is>
      </c>
      <c r="F2739" s="2">
        <v>700110910014</v>
      </c>
      <c r="I2739" s="0">
        <v>29.99</v>
      </c>
      <c r="J2739" s="0">
        <v>227</v>
      </c>
    </row>
    <row r="2740" spans="1:10" customHeight="0">
      <c r="A2740" s="0">
        <f>HYPERLINK("https://dl.dropboxusercontent.com/scl/fi/ehgk79q6v7ga3laprpb0y/scarlettbk.jpg?rlkey=vbb10jmcw2dbdbhiqwzgh05ke&amp;dl=0","Click to download Image")</f>
      </c>
      <c r="B2740" s="0">
        <f>HYPERLINK("https://dl.dropboxusercontent.com/scl/fi/xqe2hch7rfqguleaojub9/womens-jackets-size-chartsscarlett.jpg?rlkey=cqiibhoj6e6mpmtia2pk5oqxz&amp;dl=0","Click to download SizeChart")</f>
      </c>
      <c r="C2740" s="0" t="inlineStr">
        <is>
          <t>Scarlett Women's Wool Jacket</t>
        </is>
      </c>
      <c r="D2740" s="1">
        <v>110925</v>
      </c>
      <c r="E2740" s="0" t="inlineStr">
        <is>
          <t>IOWA SCARLETT BLACK:110925AA-XS</t>
        </is>
      </c>
      <c r="F2740" s="2">
        <v>800110925039</v>
      </c>
      <c r="G2740" s="0" t="inlineStr">
        <is>
          <t>WOMENS</t>
        </is>
      </c>
      <c r="H2740" s="0" t="inlineStr">
        <is>
          <t>XS</t>
        </is>
      </c>
      <c r="I2740" s="0">
        <v>118.99</v>
      </c>
      <c r="J2740" s="0">
        <v>12</v>
      </c>
    </row>
    <row r="2741" spans="1:10" customHeight="0">
      <c r="A2741" s="0">
        <f>HYPERLINK("https://dl.dropboxusercontent.com/scl/fi/ehgk79q6v7ga3laprpb0y/scarlettbk.jpg?rlkey=vbb10jmcw2dbdbhiqwzgh05ke&amp;dl=0","Click to download Image")</f>
      </c>
      <c r="B2741" s="0">
        <f>HYPERLINK("https://dl.dropboxusercontent.com/scl/fi/xqe2hch7rfqguleaojub9/womens-jackets-size-chartsscarlett.jpg?rlkey=cqiibhoj6e6mpmtia2pk5oqxz&amp;dl=0","Click to download SizeChart")</f>
      </c>
      <c r="C2741" s="0" t="inlineStr">
        <is>
          <t>Scarlett Women's Wool Jacket</t>
        </is>
      </c>
      <c r="D2741" s="1">
        <v>110925</v>
      </c>
      <c r="E2741" s="0" t="inlineStr">
        <is>
          <t>IOWA SCARLETT BLACK:110925A-S</t>
        </is>
      </c>
      <c r="F2741" s="2">
        <v>800110925046</v>
      </c>
      <c r="G2741" s="0" t="inlineStr">
        <is>
          <t>WOMENS</t>
        </is>
      </c>
      <c r="H2741" s="0" t="inlineStr">
        <is>
          <t>S</t>
        </is>
      </c>
      <c r="I2741" s="0">
        <v>118.99</v>
      </c>
      <c r="J2741" s="0">
        <v>17</v>
      </c>
    </row>
    <row r="2742" spans="1:10" customHeight="0">
      <c r="A2742" s="0">
        <f>HYPERLINK("https://dl.dropboxusercontent.com/scl/fi/ehgk79q6v7ga3laprpb0y/scarlettbk.jpg?rlkey=vbb10jmcw2dbdbhiqwzgh05ke&amp;dl=0","Click to download Image")</f>
      </c>
      <c r="B2742" s="0">
        <f>HYPERLINK("https://dl.dropboxusercontent.com/scl/fi/xqe2hch7rfqguleaojub9/womens-jackets-size-chartsscarlett.jpg?rlkey=cqiibhoj6e6mpmtia2pk5oqxz&amp;dl=0","Click to download SizeChart")</f>
      </c>
      <c r="C2742" s="0" t="inlineStr">
        <is>
          <t>Scarlett Women's Wool Jacket</t>
        </is>
      </c>
      <c r="D2742" s="1">
        <v>110925</v>
      </c>
      <c r="E2742" s="0" t="inlineStr">
        <is>
          <t>IOWA SCARLETT BLACK:110925B-M</t>
        </is>
      </c>
      <c r="F2742" s="2">
        <v>800110925053</v>
      </c>
      <c r="G2742" s="0" t="inlineStr">
        <is>
          <t>WOMENS</t>
        </is>
      </c>
      <c r="H2742" s="0" t="inlineStr">
        <is>
          <t>M</t>
        </is>
      </c>
      <c r="I2742" s="0">
        <v>118.99</v>
      </c>
      <c r="J2742" s="0">
        <v>12</v>
      </c>
    </row>
    <row r="2743" spans="1:10" customHeight="0">
      <c r="A2743" s="0">
        <f>HYPERLINK("https://dl.dropboxusercontent.com/scl/fi/ehgk79q6v7ga3laprpb0y/scarlettbk.jpg?rlkey=vbb10jmcw2dbdbhiqwzgh05ke&amp;dl=0","Click to download Image")</f>
      </c>
      <c r="B2743" s="0">
        <f>HYPERLINK("https://dl.dropboxusercontent.com/scl/fi/xqe2hch7rfqguleaojub9/womens-jackets-size-chartsscarlett.jpg?rlkey=cqiibhoj6e6mpmtia2pk5oqxz&amp;dl=0","Click to download SizeChart")</f>
      </c>
      <c r="C2743" s="0" t="inlineStr">
        <is>
          <t>Scarlett Women's Wool Jacket</t>
        </is>
      </c>
      <c r="D2743" s="1">
        <v>110925</v>
      </c>
      <c r="E2743" s="0" t="inlineStr">
        <is>
          <t>IOWA SCARLETT BLACK:110925C-L</t>
        </is>
      </c>
      <c r="F2743" s="2">
        <v>800110925060</v>
      </c>
      <c r="G2743" s="0" t="inlineStr">
        <is>
          <t>WOMENS</t>
        </is>
      </c>
      <c r="H2743" s="0" t="inlineStr">
        <is>
          <t>L</t>
        </is>
      </c>
      <c r="I2743" s="0">
        <v>118.99</v>
      </c>
      <c r="J2743" s="0">
        <v>9</v>
      </c>
    </row>
    <row r="2744" spans="1:10" customHeight="0">
      <c r="A2744" s="0">
        <f>HYPERLINK("https://dl.dropboxusercontent.com/scl/fi/ehgk79q6v7ga3laprpb0y/scarlettbk.jpg?rlkey=vbb10jmcw2dbdbhiqwzgh05ke&amp;dl=0","Click to download Image")</f>
      </c>
      <c r="B2744" s="0">
        <f>HYPERLINK("https://dl.dropboxusercontent.com/scl/fi/xqe2hch7rfqguleaojub9/womens-jackets-size-chartsscarlett.jpg?rlkey=cqiibhoj6e6mpmtia2pk5oqxz&amp;dl=0","Click to download SizeChart")</f>
      </c>
      <c r="C2744" s="0" t="inlineStr">
        <is>
          <t>Scarlett Women's Wool Jacket</t>
        </is>
      </c>
      <c r="D2744" s="1">
        <v>110925</v>
      </c>
      <c r="E2744" s="0" t="inlineStr">
        <is>
          <t>IOWA SCARLETT BLACK:110925D-XL</t>
        </is>
      </c>
      <c r="F2744" s="2">
        <v>800110925077</v>
      </c>
      <c r="G2744" s="0" t="inlineStr">
        <is>
          <t>WOMENS</t>
        </is>
      </c>
      <c r="H2744" s="0" t="inlineStr">
        <is>
          <t>XL</t>
        </is>
      </c>
      <c r="I2744" s="0">
        <v>118.99</v>
      </c>
      <c r="J2744" s="0">
        <v>10</v>
      </c>
    </row>
    <row r="2745" spans="1:10" customHeight="0">
      <c r="A2745" s="0">
        <f>HYPERLINK("https://dl.dropboxusercontent.com/scl/fi/ehgk79q6v7ga3laprpb0y/scarlettbk.jpg?rlkey=vbb10jmcw2dbdbhiqwzgh05ke&amp;dl=0","Click to download Image")</f>
      </c>
      <c r="B2745" s="0">
        <f>HYPERLINK("https://dl.dropboxusercontent.com/scl/fi/xqe2hch7rfqguleaojub9/womens-jackets-size-chartsscarlett.jpg?rlkey=cqiibhoj6e6mpmtia2pk5oqxz&amp;dl=0","Click to download SizeChart")</f>
      </c>
      <c r="C2745" s="0" t="inlineStr">
        <is>
          <t>Scarlett Women's Wool Jacket</t>
        </is>
      </c>
      <c r="D2745" s="1">
        <v>110925</v>
      </c>
      <c r="E2745" s="0" t="inlineStr">
        <is>
          <t>IOWA SCARLETT BLACK:110925E-2XL</t>
        </is>
      </c>
      <c r="F2745" s="2">
        <v>800110925084</v>
      </c>
      <c r="G2745" s="0" t="inlineStr">
        <is>
          <t>WOMENS</t>
        </is>
      </c>
      <c r="H2745" s="0" t="inlineStr">
        <is>
          <t>2XL</t>
        </is>
      </c>
      <c r="I2745" s="0">
        <v>120.99</v>
      </c>
      <c r="J2745" s="0">
        <v>3</v>
      </c>
    </row>
    <row r="2746" spans="1:10" customHeight="0">
      <c r="A2746" s="0">
        <f>HYPERLINK("https://dl.dropboxusercontent.com/scl/fi/ehgk79q6v7ga3laprpb0y/scarlettbk.jpg?rlkey=vbb10jmcw2dbdbhiqwzgh05ke&amp;dl=0","Click to download Image")</f>
      </c>
      <c r="B2746" s="0">
        <f>HYPERLINK("https://dl.dropboxusercontent.com/scl/fi/xqe2hch7rfqguleaojub9/womens-jackets-size-chartsscarlett.jpg?rlkey=cqiibhoj6e6mpmtia2pk5oqxz&amp;dl=0","Click to download SizeChart")</f>
      </c>
      <c r="C2746" s="0" t="inlineStr">
        <is>
          <t>Scarlett Women's Wool Jacket</t>
        </is>
      </c>
      <c r="D2746" s="1">
        <v>110925</v>
      </c>
      <c r="E2746" s="0" t="inlineStr">
        <is>
          <t>IOWA SCARLETT BLACK:110925F-3XL</t>
        </is>
      </c>
      <c r="F2746" s="2">
        <v>800110925091</v>
      </c>
      <c r="G2746" s="0" t="inlineStr">
        <is>
          <t>WOMENS</t>
        </is>
      </c>
      <c r="H2746" s="0" t="inlineStr">
        <is>
          <t>3XL</t>
        </is>
      </c>
      <c r="I2746" s="0">
        <v>120.99</v>
      </c>
      <c r="J2746" s="0">
        <v>6</v>
      </c>
    </row>
    <row r="2747" spans="1:10" customHeight="0">
      <c r="A2747" s="0">
        <f>HYPERLINK("https://dl.dropboxusercontent.com/scl/fi/tegr9paht6svnni06sit0/scarlett.jpg?rlkey=s3q4p2dej1nyexvtlc0lqrssy&amp;dl=0","Click to download Image")</f>
      </c>
      <c r="B2747" s="0">
        <f>HYPERLINK("https://dl.dropboxusercontent.com/scl/fi/xqe2hch7rfqguleaojub9/womens-jackets-size-chartsscarlett.jpg?rlkey=cqiibhoj6e6mpmtia2pk5oqxz&amp;dl=0","Click to download SizeChart")</f>
      </c>
      <c r="C2747" s="0" t="inlineStr">
        <is>
          <t>Scarlett Women's Wool Jacket</t>
        </is>
      </c>
      <c r="D2747" s="1">
        <v>111666</v>
      </c>
      <c r="E2747" s="0" t="inlineStr">
        <is>
          <t>IOWA SCARLETT WHITE:111666AA-XS</t>
        </is>
      </c>
      <c r="F2747" s="2">
        <v>800111666030</v>
      </c>
      <c r="G2747" s="0" t="inlineStr">
        <is>
          <t>WOMENS</t>
        </is>
      </c>
      <c r="H2747" s="0" t="inlineStr">
        <is>
          <t>XS</t>
        </is>
      </c>
      <c r="I2747" s="0">
        <v>118.99</v>
      </c>
      <c r="J2747" s="0">
        <v>12</v>
      </c>
    </row>
    <row r="2748" spans="1:10" customHeight="0">
      <c r="A2748" s="0">
        <f>HYPERLINK("https://dl.dropboxusercontent.com/scl/fi/tegr9paht6svnni06sit0/scarlett.jpg?rlkey=s3q4p2dej1nyexvtlc0lqrssy&amp;dl=0","Click to download Image")</f>
      </c>
      <c r="B2748" s="0">
        <f>HYPERLINK("https://dl.dropboxusercontent.com/scl/fi/xqe2hch7rfqguleaojub9/womens-jackets-size-chartsscarlett.jpg?rlkey=cqiibhoj6e6mpmtia2pk5oqxz&amp;dl=0","Click to download SizeChart")</f>
      </c>
      <c r="C2748" s="0" t="inlineStr">
        <is>
          <t>Scarlett Women's Wool Jacket</t>
        </is>
      </c>
      <c r="D2748" s="1">
        <v>111666</v>
      </c>
      <c r="E2748" s="0" t="inlineStr">
        <is>
          <t>IOWA SCARLETT WHITE:111666A-S</t>
        </is>
      </c>
      <c r="F2748" s="2">
        <v>800111666047</v>
      </c>
      <c r="G2748" s="0" t="inlineStr">
        <is>
          <t>WOMENS</t>
        </is>
      </c>
      <c r="H2748" s="0" t="inlineStr">
        <is>
          <t>S</t>
        </is>
      </c>
      <c r="I2748" s="0">
        <v>118.99</v>
      </c>
      <c r="J2748" s="0">
        <v>18</v>
      </c>
    </row>
    <row r="2749" spans="1:10" customHeight="0">
      <c r="A2749" s="0">
        <f>HYPERLINK("https://dl.dropboxusercontent.com/scl/fi/tegr9paht6svnni06sit0/scarlett.jpg?rlkey=s3q4p2dej1nyexvtlc0lqrssy&amp;dl=0","Click to download Image")</f>
      </c>
      <c r="B2749" s="0">
        <f>HYPERLINK("https://dl.dropboxusercontent.com/scl/fi/xqe2hch7rfqguleaojub9/womens-jackets-size-chartsscarlett.jpg?rlkey=cqiibhoj6e6mpmtia2pk5oqxz&amp;dl=0","Click to download SizeChart")</f>
      </c>
      <c r="C2749" s="0" t="inlineStr">
        <is>
          <t>Scarlett Women's Wool Jacket</t>
        </is>
      </c>
      <c r="D2749" s="1">
        <v>111666</v>
      </c>
      <c r="E2749" s="0" t="inlineStr">
        <is>
          <t>IOWA SCARLETT WHITE:111666B-M</t>
        </is>
      </c>
      <c r="F2749" s="2">
        <v>800111666054</v>
      </c>
      <c r="G2749" s="0" t="inlineStr">
        <is>
          <t>WOMENS</t>
        </is>
      </c>
      <c r="H2749" s="0" t="inlineStr">
        <is>
          <t>M</t>
        </is>
      </c>
      <c r="I2749" s="0">
        <v>118.99</v>
      </c>
      <c r="J2749" s="0">
        <v>18</v>
      </c>
    </row>
    <row r="2750" spans="1:10" customHeight="0">
      <c r="A2750" s="0">
        <f>HYPERLINK("https://dl.dropboxusercontent.com/scl/fi/tegr9paht6svnni06sit0/scarlett.jpg?rlkey=s3q4p2dej1nyexvtlc0lqrssy&amp;dl=0","Click to download Image")</f>
      </c>
      <c r="B2750" s="0">
        <f>HYPERLINK("https://dl.dropboxusercontent.com/scl/fi/xqe2hch7rfqguleaojub9/womens-jackets-size-chartsscarlett.jpg?rlkey=cqiibhoj6e6mpmtia2pk5oqxz&amp;dl=0","Click to download SizeChart")</f>
      </c>
      <c r="C2750" s="0" t="inlineStr">
        <is>
          <t>Scarlett Women's Wool Jacket</t>
        </is>
      </c>
      <c r="D2750" s="1">
        <v>111666</v>
      </c>
      <c r="E2750" s="0" t="inlineStr">
        <is>
          <t>IOWA SCARLETT WHITE:111666C-L</t>
        </is>
      </c>
      <c r="F2750" s="2">
        <v>800111666061</v>
      </c>
      <c r="G2750" s="0" t="inlineStr">
        <is>
          <t>WOMENS</t>
        </is>
      </c>
      <c r="H2750" s="0" t="inlineStr">
        <is>
          <t>L</t>
        </is>
      </c>
      <c r="I2750" s="0">
        <v>118.99</v>
      </c>
      <c r="J2750" s="0">
        <v>12</v>
      </c>
    </row>
    <row r="2751" spans="1:10" customHeight="0">
      <c r="A2751" s="0">
        <f>HYPERLINK("https://dl.dropboxusercontent.com/scl/fi/tegr9paht6svnni06sit0/scarlett.jpg?rlkey=s3q4p2dej1nyexvtlc0lqrssy&amp;dl=0","Click to download Image")</f>
      </c>
      <c r="B2751" s="0">
        <f>HYPERLINK("https://dl.dropboxusercontent.com/scl/fi/xqe2hch7rfqguleaojub9/womens-jackets-size-chartsscarlett.jpg?rlkey=cqiibhoj6e6mpmtia2pk5oqxz&amp;dl=0","Click to download SizeChart")</f>
      </c>
      <c r="C2751" s="0" t="inlineStr">
        <is>
          <t>Scarlett Women's Wool Jacket</t>
        </is>
      </c>
      <c r="D2751" s="1">
        <v>111666</v>
      </c>
      <c r="E2751" s="0" t="inlineStr">
        <is>
          <t>IOWA SCARLETT WHITE:111666D-XL</t>
        </is>
      </c>
      <c r="F2751" s="2">
        <v>800111666078</v>
      </c>
      <c r="G2751" s="0" t="inlineStr">
        <is>
          <t>WOMENS</t>
        </is>
      </c>
      <c r="H2751" s="0" t="inlineStr">
        <is>
          <t>XL</t>
        </is>
      </c>
      <c r="I2751" s="0">
        <v>118.99</v>
      </c>
      <c r="J2751" s="0">
        <v>12</v>
      </c>
    </row>
    <row r="2752" spans="1:10" customHeight="0">
      <c r="A2752" s="0">
        <f>HYPERLINK("https://dl.dropboxusercontent.com/scl/fi/tegr9paht6svnni06sit0/scarlett.jpg?rlkey=s3q4p2dej1nyexvtlc0lqrssy&amp;dl=0","Click to download Image")</f>
      </c>
      <c r="B2752" s="0">
        <f>HYPERLINK("https://dl.dropboxusercontent.com/scl/fi/xqe2hch7rfqguleaojub9/womens-jackets-size-chartsscarlett.jpg?rlkey=cqiibhoj6e6mpmtia2pk5oqxz&amp;dl=0","Click to download SizeChart")</f>
      </c>
      <c r="C2752" s="0" t="inlineStr">
        <is>
          <t>Scarlett Women's Wool Jacket</t>
        </is>
      </c>
      <c r="D2752" s="1">
        <v>111666</v>
      </c>
      <c r="E2752" s="0" t="inlineStr">
        <is>
          <t>IOWA SCARLETT WHITE:111666E-2XL</t>
        </is>
      </c>
      <c r="F2752" s="2">
        <v>800111666085</v>
      </c>
      <c r="G2752" s="0" t="inlineStr">
        <is>
          <t>WOMENS</t>
        </is>
      </c>
      <c r="H2752" s="0" t="inlineStr">
        <is>
          <t>2XL</t>
        </is>
      </c>
      <c r="I2752" s="0">
        <v>120.99</v>
      </c>
      <c r="J2752" s="0">
        <v>6</v>
      </c>
    </row>
    <row r="2753" spans="1:10" customHeight="0">
      <c r="A2753" s="0">
        <f>HYPERLINK("https://dl.dropboxusercontent.com/scl/fi/tegr9paht6svnni06sit0/scarlett.jpg?rlkey=s3q4p2dej1nyexvtlc0lqrssy&amp;dl=0","Click to download Image")</f>
      </c>
      <c r="B2753" s="0">
        <f>HYPERLINK("https://dl.dropboxusercontent.com/scl/fi/xqe2hch7rfqguleaojub9/womens-jackets-size-chartsscarlett.jpg?rlkey=cqiibhoj6e6mpmtia2pk5oqxz&amp;dl=0","Click to download SizeChart")</f>
      </c>
      <c r="C2753" s="0" t="inlineStr">
        <is>
          <t>Scarlett Women's Wool Jacket</t>
        </is>
      </c>
      <c r="D2753" s="1">
        <v>111666</v>
      </c>
      <c r="E2753" s="0" t="inlineStr">
        <is>
          <t>IOWA SCARLETT WHITE:111666F-3XL</t>
        </is>
      </c>
      <c r="F2753" s="2">
        <v>800111666092</v>
      </c>
      <c r="G2753" s="0" t="inlineStr">
        <is>
          <t>WOMENS</t>
        </is>
      </c>
      <c r="H2753" s="0" t="inlineStr">
        <is>
          <t>3XL</t>
        </is>
      </c>
      <c r="I2753" s="0">
        <v>120.99</v>
      </c>
      <c r="J2753" s="0">
        <v>6</v>
      </c>
    </row>
    <row r="2754" spans="1:10" customHeight="0">
      <c r="A2754" s="0">
        <f>HYPERLINK("https://dl.dropboxusercontent.com/scl/fi/nf8istxkpfnt8dwme22aq/kathleen-01.jpg?rlkey=r56qyj3cj5gdc68w1hswfsr9a&amp;dl=0","Click to download Image")</f>
      </c>
      <c r="B2754" s="0">
        <f>HYPERLINK("https://dl.dropboxusercontent.com/scl/fi/h7dq7bbx8wux1zwt32ss8/womens-long-sleeve-size-chartskathleen.jpg?rlkey=cknr2u52cv2j5eg46x5slotp2&amp;dl=0","Click to download SizeChart")</f>
      </c>
      <c r="C2754" s="0" t="inlineStr">
        <is>
          <t>Kathleen Women's Cold Shoulder Long Sleeve Shirt</t>
        </is>
      </c>
      <c r="D2754" s="1">
        <v>104052</v>
      </c>
      <c r="E2754" s="0" t="inlineStr">
        <is>
          <t>KATHLEEN:104052A-S</t>
        </is>
      </c>
      <c r="G2754" s="0" t="inlineStr">
        <is>
          <t>WOMENS</t>
        </is>
      </c>
      <c r="H2754" s="0" t="inlineStr">
        <is>
          <t>S</t>
        </is>
      </c>
      <c r="I2754" s="0">
        <v>39.99</v>
      </c>
      <c r="J2754" s="0">
        <v>59</v>
      </c>
    </row>
    <row r="2755" spans="1:10" customHeight="0">
      <c r="A2755" s="0">
        <f>HYPERLINK("https://dl.dropboxusercontent.com/scl/fi/nf8istxkpfnt8dwme22aq/kathleen-01.jpg?rlkey=r56qyj3cj5gdc68w1hswfsr9a&amp;dl=0","Click to download Image")</f>
      </c>
      <c r="B2755" s="0">
        <f>HYPERLINK("https://dl.dropboxusercontent.com/scl/fi/h7dq7bbx8wux1zwt32ss8/womens-long-sleeve-size-chartskathleen.jpg?rlkey=cknr2u52cv2j5eg46x5slotp2&amp;dl=0","Click to download SizeChart")</f>
      </c>
      <c r="C2755" s="0" t="inlineStr">
        <is>
          <t>Kathleen Women's Cold Shoulder Long Sleeve Shirt</t>
        </is>
      </c>
      <c r="D2755" s="1">
        <v>104052</v>
      </c>
      <c r="E2755" s="0" t="inlineStr">
        <is>
          <t>KATHLEEN:104052B-M</t>
        </is>
      </c>
      <c r="G2755" s="0" t="inlineStr">
        <is>
          <t>WOMENS</t>
        </is>
      </c>
      <c r="H2755" s="0" t="inlineStr">
        <is>
          <t>M</t>
        </is>
      </c>
      <c r="I2755" s="0">
        <v>39.99</v>
      </c>
      <c r="J2755" s="0">
        <v>66</v>
      </c>
    </row>
    <row r="2756" spans="1:10" customHeight="0">
      <c r="A2756" s="0">
        <f>HYPERLINK("https://dl.dropboxusercontent.com/scl/fi/nf8istxkpfnt8dwme22aq/kathleen-01.jpg?rlkey=r56qyj3cj5gdc68w1hswfsr9a&amp;dl=0","Click to download Image")</f>
      </c>
      <c r="B2756" s="0">
        <f>HYPERLINK("https://dl.dropboxusercontent.com/scl/fi/h7dq7bbx8wux1zwt32ss8/womens-long-sleeve-size-chartskathleen.jpg?rlkey=cknr2u52cv2j5eg46x5slotp2&amp;dl=0","Click to download SizeChart")</f>
      </c>
      <c r="C2756" s="0" t="inlineStr">
        <is>
          <t>Kathleen Women's Cold Shoulder Long Sleeve Shirt</t>
        </is>
      </c>
      <c r="D2756" s="1">
        <v>104052</v>
      </c>
      <c r="E2756" s="0" t="inlineStr">
        <is>
          <t>KATHLEEN:104052C-L</t>
        </is>
      </c>
      <c r="G2756" s="0" t="inlineStr">
        <is>
          <t>WOMENS</t>
        </is>
      </c>
      <c r="H2756" s="0" t="inlineStr">
        <is>
          <t>L</t>
        </is>
      </c>
      <c r="I2756" s="0">
        <v>39.99</v>
      </c>
      <c r="J2756" s="0">
        <v>71</v>
      </c>
    </row>
    <row r="2757" spans="1:10" customHeight="0">
      <c r="A2757" s="0">
        <f>HYPERLINK("https://dl.dropboxusercontent.com/scl/fi/nf8istxkpfnt8dwme22aq/kathleen-01.jpg?rlkey=r56qyj3cj5gdc68w1hswfsr9a&amp;dl=0","Click to download Image")</f>
      </c>
      <c r="B2757" s="0">
        <f>HYPERLINK("https://dl.dropboxusercontent.com/scl/fi/h7dq7bbx8wux1zwt32ss8/womens-long-sleeve-size-chartskathleen.jpg?rlkey=cknr2u52cv2j5eg46x5slotp2&amp;dl=0","Click to download SizeChart")</f>
      </c>
      <c r="C2757" s="0" t="inlineStr">
        <is>
          <t>Kathleen Women's Cold Shoulder Long Sleeve Shirt</t>
        </is>
      </c>
      <c r="D2757" s="1">
        <v>104052</v>
      </c>
      <c r="E2757" s="0" t="inlineStr">
        <is>
          <t>KATHLEEN:104052D-XL</t>
        </is>
      </c>
      <c r="G2757" s="0" t="inlineStr">
        <is>
          <t>WOMENS</t>
        </is>
      </c>
      <c r="H2757" s="0" t="inlineStr">
        <is>
          <t>XL</t>
        </is>
      </c>
      <c r="I2757" s="0">
        <v>39.99</v>
      </c>
      <c r="J2757" s="0">
        <v>75</v>
      </c>
    </row>
    <row r="2758" spans="1:10" customHeight="0">
      <c r="A2758" s="0">
        <f>HYPERLINK("https://dl.dropboxusercontent.com/scl/fi/nf8istxkpfnt8dwme22aq/kathleen-01.jpg?rlkey=r56qyj3cj5gdc68w1hswfsr9a&amp;dl=0","Click to download Image")</f>
      </c>
      <c r="B2758" s="0">
        <f>HYPERLINK("https://dl.dropboxusercontent.com/scl/fi/h7dq7bbx8wux1zwt32ss8/womens-long-sleeve-size-chartskathleen.jpg?rlkey=cknr2u52cv2j5eg46x5slotp2&amp;dl=0","Click to download SizeChart")</f>
      </c>
      <c r="C2758" s="0" t="inlineStr">
        <is>
          <t>Kathleen Women's Cold Shoulder Long Sleeve Shirt</t>
        </is>
      </c>
      <c r="D2758" s="1">
        <v>104052</v>
      </c>
      <c r="E2758" s="0" t="inlineStr">
        <is>
          <t>KATHLEEN:104052E-2XL</t>
        </is>
      </c>
      <c r="G2758" s="0" t="inlineStr">
        <is>
          <t>WOMENS</t>
        </is>
      </c>
      <c r="H2758" s="0" t="inlineStr">
        <is>
          <t>2XL</t>
        </is>
      </c>
      <c r="I2758" s="0">
        <v>41.99</v>
      </c>
      <c r="J2758" s="0">
        <v>60</v>
      </c>
    </row>
    <row r="2759" spans="1:10" customHeight="0">
      <c r="A2759" s="0">
        <f>HYPERLINK("https://dl.dropboxusercontent.com/scl/fi/nf8istxkpfnt8dwme22aq/kathleen-01.jpg?rlkey=r56qyj3cj5gdc68w1hswfsr9a&amp;dl=0","Click to download Image")</f>
      </c>
      <c r="B2759" s="0">
        <f>HYPERLINK("https://dl.dropboxusercontent.com/scl/fi/h7dq7bbx8wux1zwt32ss8/womens-long-sleeve-size-chartskathleen.jpg?rlkey=cknr2u52cv2j5eg46x5slotp2&amp;dl=0","Click to download SizeChart")</f>
      </c>
      <c r="C2759" s="0" t="inlineStr">
        <is>
          <t>Kathleen Women's Cold Shoulder Long Sleeve Shirt</t>
        </is>
      </c>
      <c r="D2759" s="1">
        <v>104052</v>
      </c>
      <c r="E2759" s="0" t="inlineStr">
        <is>
          <t>KATHLEEN:104052F-3XL</t>
        </is>
      </c>
      <c r="G2759" s="0" t="inlineStr">
        <is>
          <t>WOMENS</t>
        </is>
      </c>
      <c r="H2759" s="0" t="inlineStr">
        <is>
          <t>3XL</t>
        </is>
      </c>
      <c r="I2759" s="0">
        <v>41.99</v>
      </c>
      <c r="J2759" s="0">
        <v>10</v>
      </c>
    </row>
    <row r="2760" spans="1:10" customHeight="0">
      <c r="A2760" s="0">
        <f>HYPERLINK("https://dl.dropboxusercontent.com/scl/fi/77wtk7k2s0sppmk2eobof/111948-af.jpg?rlkey=qiwn36f1pbhnowqetkhln0l2d&amp;dl=0","Click to download Image")</f>
      </c>
      <c r="B2760" s="0">
        <f>HYPERLINK("https://dl.dropboxusercontent.com/scl/fi/0d8ajdrebfss5ut74n42n/womens-long-sleeve-size-chartssienna.jpg?rlkey=33wr3r0n1bfue4mzc01zbtda1&amp;dl=0","Click to download SizeChart")</f>
      </c>
      <c r="C2760" s="0" t="inlineStr">
        <is>
          <t>Sienna Women's Blouse</t>
        </is>
      </c>
      <c r="D2760" s="1">
        <v>111948</v>
      </c>
      <c r="E2760" s="0" t="inlineStr">
        <is>
          <t>IOWA SIENNA WHITE:111948AA-XS</t>
        </is>
      </c>
      <c r="F2760" s="2">
        <v>800111948037</v>
      </c>
      <c r="G2760" s="0" t="inlineStr">
        <is>
          <t>WOMENS</t>
        </is>
      </c>
      <c r="H2760" s="0" t="inlineStr">
        <is>
          <t>XS</t>
        </is>
      </c>
      <c r="I2760" s="0">
        <v>49.99</v>
      </c>
      <c r="J2760" s="0">
        <v>8</v>
      </c>
    </row>
    <row r="2761" spans="1:10" customHeight="0">
      <c r="A2761" s="0">
        <f>HYPERLINK("https://dl.dropboxusercontent.com/scl/fi/77wtk7k2s0sppmk2eobof/111948-af.jpg?rlkey=qiwn36f1pbhnowqetkhln0l2d&amp;dl=0","Click to download Image")</f>
      </c>
      <c r="B2761" s="0">
        <f>HYPERLINK("https://dl.dropboxusercontent.com/scl/fi/0d8ajdrebfss5ut74n42n/womens-long-sleeve-size-chartssienna.jpg?rlkey=33wr3r0n1bfue4mzc01zbtda1&amp;dl=0","Click to download SizeChart")</f>
      </c>
      <c r="C2761" s="0" t="inlineStr">
        <is>
          <t>Sienna Women's Blouse</t>
        </is>
      </c>
      <c r="D2761" s="1">
        <v>111948</v>
      </c>
      <c r="E2761" s="0" t="inlineStr">
        <is>
          <t>IOWA SIENNA WHITE:111948A-S</t>
        </is>
      </c>
      <c r="F2761" s="2">
        <v>800111948044</v>
      </c>
      <c r="G2761" s="0" t="inlineStr">
        <is>
          <t>WOMENS</t>
        </is>
      </c>
      <c r="H2761" s="0" t="inlineStr">
        <is>
          <t>S</t>
        </is>
      </c>
      <c r="I2761" s="0">
        <v>49.99</v>
      </c>
      <c r="J2761" s="0">
        <v>12</v>
      </c>
    </row>
    <row r="2762" spans="1:10" customHeight="0">
      <c r="A2762" s="0">
        <f>HYPERLINK("https://dl.dropboxusercontent.com/scl/fi/77wtk7k2s0sppmk2eobof/111948-af.jpg?rlkey=qiwn36f1pbhnowqetkhln0l2d&amp;dl=0","Click to download Image")</f>
      </c>
      <c r="B2762" s="0">
        <f>HYPERLINK("https://dl.dropboxusercontent.com/scl/fi/0d8ajdrebfss5ut74n42n/womens-long-sleeve-size-chartssienna.jpg?rlkey=33wr3r0n1bfue4mzc01zbtda1&amp;dl=0","Click to download SizeChart")</f>
      </c>
      <c r="C2762" s="0" t="inlineStr">
        <is>
          <t>Sienna Women's Blouse</t>
        </is>
      </c>
      <c r="D2762" s="1">
        <v>111948</v>
      </c>
      <c r="E2762" s="0" t="inlineStr">
        <is>
          <t>IOWA SIENNA WHITE:111948B-M</t>
        </is>
      </c>
      <c r="F2762" s="2">
        <v>800111948051</v>
      </c>
      <c r="G2762" s="0" t="inlineStr">
        <is>
          <t>WOMENS</t>
        </is>
      </c>
      <c r="H2762" s="0" t="inlineStr">
        <is>
          <t>M</t>
        </is>
      </c>
      <c r="I2762" s="0">
        <v>49.99</v>
      </c>
      <c r="J2762" s="0">
        <v>12</v>
      </c>
    </row>
    <row r="2763" spans="1:10" customHeight="0">
      <c r="A2763" s="0">
        <f>HYPERLINK("https://dl.dropboxusercontent.com/scl/fi/77wtk7k2s0sppmk2eobof/111948-af.jpg?rlkey=qiwn36f1pbhnowqetkhln0l2d&amp;dl=0","Click to download Image")</f>
      </c>
      <c r="B2763" s="0">
        <f>HYPERLINK("https://dl.dropboxusercontent.com/scl/fi/0d8ajdrebfss5ut74n42n/womens-long-sleeve-size-chartssienna.jpg?rlkey=33wr3r0n1bfue4mzc01zbtda1&amp;dl=0","Click to download SizeChart")</f>
      </c>
      <c r="C2763" s="0" t="inlineStr">
        <is>
          <t>Sienna Women's Blouse</t>
        </is>
      </c>
      <c r="D2763" s="1">
        <v>111948</v>
      </c>
      <c r="E2763" s="0" t="inlineStr">
        <is>
          <t>IOWA SIENNA WHITE:111948C-L</t>
        </is>
      </c>
      <c r="F2763" s="2">
        <v>800111948068</v>
      </c>
      <c r="G2763" s="0" t="inlineStr">
        <is>
          <t>WOMENS</t>
        </is>
      </c>
      <c r="H2763" s="0" t="inlineStr">
        <is>
          <t>L</t>
        </is>
      </c>
      <c r="I2763" s="0">
        <v>49.99</v>
      </c>
      <c r="J2763" s="0">
        <v>8</v>
      </c>
    </row>
    <row r="2764" spans="1:10" customHeight="0">
      <c r="A2764" s="0">
        <f>HYPERLINK("https://dl.dropboxusercontent.com/scl/fi/77wtk7k2s0sppmk2eobof/111948-af.jpg?rlkey=qiwn36f1pbhnowqetkhln0l2d&amp;dl=0","Click to download Image")</f>
      </c>
      <c r="B2764" s="0">
        <f>HYPERLINK("https://dl.dropboxusercontent.com/scl/fi/0d8ajdrebfss5ut74n42n/womens-long-sleeve-size-chartssienna.jpg?rlkey=33wr3r0n1bfue4mzc01zbtda1&amp;dl=0","Click to download SizeChart")</f>
      </c>
      <c r="C2764" s="0" t="inlineStr">
        <is>
          <t>Sienna Women's Blouse</t>
        </is>
      </c>
      <c r="D2764" s="1">
        <v>111948</v>
      </c>
      <c r="E2764" s="0" t="inlineStr">
        <is>
          <t>IOWA SIENNA WHITE:111948D-XL</t>
        </is>
      </c>
      <c r="F2764" s="2">
        <v>800111948075</v>
      </c>
      <c r="G2764" s="0" t="inlineStr">
        <is>
          <t>WOMENS</t>
        </is>
      </c>
      <c r="H2764" s="0" t="inlineStr">
        <is>
          <t>XL</t>
        </is>
      </c>
      <c r="I2764" s="0">
        <v>49.99</v>
      </c>
      <c r="J2764" s="0">
        <v>8</v>
      </c>
    </row>
    <row r="2765" spans="1:10" customHeight="0">
      <c r="A2765" s="0">
        <f>HYPERLINK("https://dl.dropboxusercontent.com/scl/fi/77wtk7k2s0sppmk2eobof/111948-af.jpg?rlkey=qiwn36f1pbhnowqetkhln0l2d&amp;dl=0","Click to download Image")</f>
      </c>
      <c r="B2765" s="0">
        <f>HYPERLINK("https://dl.dropboxusercontent.com/scl/fi/0d8ajdrebfss5ut74n42n/womens-long-sleeve-size-chartssienna.jpg?rlkey=33wr3r0n1bfue4mzc01zbtda1&amp;dl=0","Click to download SizeChart")</f>
      </c>
      <c r="C2765" s="0" t="inlineStr">
        <is>
          <t>Sienna Women's Blouse</t>
        </is>
      </c>
      <c r="D2765" s="1">
        <v>111948</v>
      </c>
      <c r="E2765" s="0" t="inlineStr">
        <is>
          <t>IOWA SIENNA WHITE:111948E-2XL</t>
        </is>
      </c>
      <c r="F2765" s="2">
        <v>800111948082</v>
      </c>
      <c r="G2765" s="0" t="inlineStr">
        <is>
          <t>WOMENS</t>
        </is>
      </c>
      <c r="H2765" s="0" t="inlineStr">
        <is>
          <t>2XL</t>
        </is>
      </c>
      <c r="I2765" s="0">
        <v>51.99</v>
      </c>
      <c r="J2765" s="0">
        <v>4</v>
      </c>
    </row>
    <row r="2766" spans="1:10" customHeight="0">
      <c r="A2766" s="0">
        <f>HYPERLINK("https://dl.dropboxusercontent.com/scl/fi/77wtk7k2s0sppmk2eobof/111948-af.jpg?rlkey=qiwn36f1pbhnowqetkhln0l2d&amp;dl=0","Click to download Image")</f>
      </c>
      <c r="B2766" s="0">
        <f>HYPERLINK("https://dl.dropboxusercontent.com/scl/fi/0d8ajdrebfss5ut74n42n/womens-long-sleeve-size-chartssienna.jpg?rlkey=33wr3r0n1bfue4mzc01zbtda1&amp;dl=0","Click to download SizeChart")</f>
      </c>
      <c r="C2766" s="0" t="inlineStr">
        <is>
          <t>Sienna Women's Blouse</t>
        </is>
      </c>
      <c r="D2766" s="1">
        <v>111948</v>
      </c>
      <c r="E2766" s="0" t="inlineStr">
        <is>
          <t>IOWA SIENNA WHITE:111948F-3XL</t>
        </is>
      </c>
      <c r="F2766" s="2">
        <v>800111948099</v>
      </c>
      <c r="G2766" s="0" t="inlineStr">
        <is>
          <t>WOMENS</t>
        </is>
      </c>
      <c r="H2766" s="0" t="inlineStr">
        <is>
          <t>3XL</t>
        </is>
      </c>
      <c r="I2766" s="0">
        <v>51.99</v>
      </c>
      <c r="J2766" s="0">
        <v>4</v>
      </c>
    </row>
    <row r="2767" spans="1:10" customHeight="0">
      <c r="A2767" s="0">
        <f>HYPERLINK("https://dl.dropboxusercontent.com/scl/fi/ppoc5im7j9o6jhlyz35u8/99820af.jpg?rlkey=vc2zj3yhbg2hlu3wuqrcwhh4c&amp;dl=0","Click to download Image")</f>
      </c>
      <c r="C2767" s="0" t="inlineStr">
        <is>
          <t>Tessa Women's Cap</t>
        </is>
      </c>
      <c r="D2767" s="1">
        <v>99820</v>
      </c>
      <c r="E2767" s="0" t="inlineStr">
        <is>
          <t>TESSA:99820</t>
        </is>
      </c>
      <c r="G2767" s="0" t="inlineStr">
        <is>
          <t>WOMENS</t>
        </is>
      </c>
      <c r="H2767" s="0" t="inlineStr">
        <is>
          <t>WOMENS</t>
        </is>
      </c>
      <c r="I2767" s="0">
        <v>18.99</v>
      </c>
      <c r="J2767" s="0">
        <v>462</v>
      </c>
    </row>
    <row r="2768" spans="1:10" customHeight="0">
      <c r="A2768" s="0">
        <f>HYPERLINK("https://dl.dropboxusercontent.com/scl/fi/j4nvy1aan4y635reqw3mk/111888t.jpg?rlkey=jxaju9v1riwl0lk4hdrwh90a5&amp;dl=0","Click to download Image")</f>
      </c>
      <c r="B2768" s="0">
        <f>HYPERLINK("https://dl.dropboxusercontent.com/scl/fi/szlvllgtz9c63jvu8lxob/womens-bodysuit-size-chartslyra.jpg?rlkey=jnx85m5ku0iaymw5aksj873l7&amp;dl=0","Click to download SizeChart")</f>
      </c>
      <c r="C2768" s="0" t="inlineStr">
        <is>
          <t>Eloise Deep V Bodysuit</t>
        </is>
      </c>
      <c r="D2768" s="1">
        <v>111888</v>
      </c>
      <c r="E2768" s="0" t="inlineStr">
        <is>
          <t>IOWA ELOISE BLACK:111888AA-XS</t>
        </is>
      </c>
      <c r="F2768" s="2">
        <v>800111888036</v>
      </c>
      <c r="G2768" s="0" t="inlineStr">
        <is>
          <t>WOMENS</t>
        </is>
      </c>
      <c r="H2768" s="0" t="inlineStr">
        <is>
          <t>XS</t>
        </is>
      </c>
      <c r="I2768" s="0">
        <v>49.99</v>
      </c>
      <c r="J2768" s="0">
        <v>12</v>
      </c>
    </row>
    <row r="2769" spans="1:10" customHeight="0">
      <c r="A2769" s="0">
        <f>HYPERLINK("https://dl.dropboxusercontent.com/scl/fi/j4nvy1aan4y635reqw3mk/111888t.jpg?rlkey=jxaju9v1riwl0lk4hdrwh90a5&amp;dl=0","Click to download Image")</f>
      </c>
      <c r="B2769" s="0">
        <f>HYPERLINK("https://dl.dropboxusercontent.com/scl/fi/szlvllgtz9c63jvu8lxob/womens-bodysuit-size-chartslyra.jpg?rlkey=jnx85m5ku0iaymw5aksj873l7&amp;dl=0","Click to download SizeChart")</f>
      </c>
      <c r="C2769" s="0" t="inlineStr">
        <is>
          <t>Eloise Deep V Bodysuit</t>
        </is>
      </c>
      <c r="D2769" s="1">
        <v>111888</v>
      </c>
      <c r="E2769" s="0" t="inlineStr">
        <is>
          <t>IOWA ELOISE BLACK:111888A-S</t>
        </is>
      </c>
      <c r="F2769" s="2">
        <v>800111888043</v>
      </c>
      <c r="G2769" s="0" t="inlineStr">
        <is>
          <t>WOMENS</t>
        </is>
      </c>
      <c r="H2769" s="0" t="inlineStr">
        <is>
          <t>S</t>
        </is>
      </c>
      <c r="I2769" s="0">
        <v>49.99</v>
      </c>
      <c r="J2769" s="0">
        <v>16</v>
      </c>
    </row>
    <row r="2770" spans="1:10" customHeight="0">
      <c r="A2770" s="0">
        <f>HYPERLINK("https://dl.dropboxusercontent.com/scl/fi/j4nvy1aan4y635reqw3mk/111888t.jpg?rlkey=jxaju9v1riwl0lk4hdrwh90a5&amp;dl=0","Click to download Image")</f>
      </c>
      <c r="B2770" s="0">
        <f>HYPERLINK("https://dl.dropboxusercontent.com/scl/fi/szlvllgtz9c63jvu8lxob/womens-bodysuit-size-chartslyra.jpg?rlkey=jnx85m5ku0iaymw5aksj873l7&amp;dl=0","Click to download SizeChart")</f>
      </c>
      <c r="C2770" s="0" t="inlineStr">
        <is>
          <t>Eloise Deep V Bodysuit</t>
        </is>
      </c>
      <c r="D2770" s="1">
        <v>111888</v>
      </c>
      <c r="E2770" s="0" t="inlineStr">
        <is>
          <t>IOWA ELOISE BLACK:111888B-M</t>
        </is>
      </c>
      <c r="F2770" s="2">
        <v>800111888050</v>
      </c>
      <c r="G2770" s="0" t="inlineStr">
        <is>
          <t>WOMENS</t>
        </is>
      </c>
      <c r="H2770" s="0" t="inlineStr">
        <is>
          <t>M</t>
        </is>
      </c>
      <c r="I2770" s="0">
        <v>49.99</v>
      </c>
      <c r="J2770" s="0">
        <v>18</v>
      </c>
    </row>
    <row r="2771" spans="1:10" customHeight="0">
      <c r="A2771" s="0">
        <f>HYPERLINK("https://dl.dropboxusercontent.com/scl/fi/j4nvy1aan4y635reqw3mk/111888t.jpg?rlkey=jxaju9v1riwl0lk4hdrwh90a5&amp;dl=0","Click to download Image")</f>
      </c>
      <c r="B2771" s="0">
        <f>HYPERLINK("https://dl.dropboxusercontent.com/scl/fi/szlvllgtz9c63jvu8lxob/womens-bodysuit-size-chartslyra.jpg?rlkey=jnx85m5ku0iaymw5aksj873l7&amp;dl=0","Click to download SizeChart")</f>
      </c>
      <c r="C2771" s="0" t="inlineStr">
        <is>
          <t>Eloise Deep V Bodysuit</t>
        </is>
      </c>
      <c r="D2771" s="1">
        <v>111888</v>
      </c>
      <c r="E2771" s="0" t="inlineStr">
        <is>
          <t>IOWA ELOISE BLACK:111888C-L</t>
        </is>
      </c>
      <c r="F2771" s="2">
        <v>800111888067</v>
      </c>
      <c r="G2771" s="0" t="inlineStr">
        <is>
          <t>WOMENS</t>
        </is>
      </c>
      <c r="H2771" s="0" t="inlineStr">
        <is>
          <t>L</t>
        </is>
      </c>
      <c r="I2771" s="0">
        <v>49.99</v>
      </c>
      <c r="J2771" s="0">
        <v>12</v>
      </c>
    </row>
    <row r="2772" spans="1:10" customHeight="0">
      <c r="A2772" s="0">
        <f>HYPERLINK("https://dl.dropboxusercontent.com/scl/fi/j4nvy1aan4y635reqw3mk/111888t.jpg?rlkey=jxaju9v1riwl0lk4hdrwh90a5&amp;dl=0","Click to download Image")</f>
      </c>
      <c r="B2772" s="0">
        <f>HYPERLINK("https://dl.dropboxusercontent.com/scl/fi/szlvllgtz9c63jvu8lxob/womens-bodysuit-size-chartslyra.jpg?rlkey=jnx85m5ku0iaymw5aksj873l7&amp;dl=0","Click to download SizeChart")</f>
      </c>
      <c r="C2772" s="0" t="inlineStr">
        <is>
          <t>Eloise Deep V Bodysuit</t>
        </is>
      </c>
      <c r="D2772" s="1">
        <v>111888</v>
      </c>
      <c r="E2772" s="0" t="inlineStr">
        <is>
          <t>IOWA ELOISE BLACK:111888D-XL</t>
        </is>
      </c>
      <c r="F2772" s="2">
        <v>800111888074</v>
      </c>
      <c r="G2772" s="0" t="inlineStr">
        <is>
          <t>WOMENS</t>
        </is>
      </c>
      <c r="H2772" s="0" t="inlineStr">
        <is>
          <t>XL</t>
        </is>
      </c>
      <c r="I2772" s="0">
        <v>49.99</v>
      </c>
      <c r="J2772" s="0">
        <v>11</v>
      </c>
    </row>
    <row r="2773" spans="1:10" customHeight="0">
      <c r="A2773" s="0">
        <f>HYPERLINK("https://dl.dropboxusercontent.com/scl/fi/j4nvy1aan4y635reqw3mk/111888t.jpg?rlkey=jxaju9v1riwl0lk4hdrwh90a5&amp;dl=0","Click to download Image")</f>
      </c>
      <c r="B2773" s="0">
        <f>HYPERLINK("https://dl.dropboxusercontent.com/scl/fi/szlvllgtz9c63jvu8lxob/womens-bodysuit-size-chartslyra.jpg?rlkey=jnx85m5ku0iaymw5aksj873l7&amp;dl=0","Click to download SizeChart")</f>
      </c>
      <c r="C2773" s="0" t="inlineStr">
        <is>
          <t>Eloise Deep V Bodysuit</t>
        </is>
      </c>
      <c r="D2773" s="1">
        <v>111888</v>
      </c>
      <c r="E2773" s="0" t="inlineStr">
        <is>
          <t>IOWA ELOISE BLACK:111888E-2XL</t>
        </is>
      </c>
      <c r="F2773" s="2">
        <v>800111888081</v>
      </c>
      <c r="G2773" s="0" t="inlineStr">
        <is>
          <t>WOMENS</t>
        </is>
      </c>
      <c r="H2773" s="0" t="inlineStr">
        <is>
          <t>2XL</t>
        </is>
      </c>
      <c r="I2773" s="0">
        <v>51.99</v>
      </c>
      <c r="J2773" s="0">
        <v>6</v>
      </c>
    </row>
    <row r="2774" spans="1:10" customHeight="0">
      <c r="A2774" s="0">
        <f>HYPERLINK("https://dl.dropboxusercontent.com/scl/fi/j4nvy1aan4y635reqw3mk/111888t.jpg?rlkey=jxaju9v1riwl0lk4hdrwh90a5&amp;dl=0","Click to download Image")</f>
      </c>
      <c r="B2774" s="0">
        <f>HYPERLINK("https://dl.dropboxusercontent.com/scl/fi/szlvllgtz9c63jvu8lxob/womens-bodysuit-size-chartslyra.jpg?rlkey=jnx85m5ku0iaymw5aksj873l7&amp;dl=0","Click to download SizeChart")</f>
      </c>
      <c r="C2774" s="0" t="inlineStr">
        <is>
          <t>Eloise Deep V Bodysuit</t>
        </is>
      </c>
      <c r="D2774" s="1">
        <v>111888</v>
      </c>
      <c r="E2774" s="0" t="inlineStr">
        <is>
          <t>IOWA ELOISE BLACK:111888F-3XL</t>
        </is>
      </c>
      <c r="F2774" s="2">
        <v>800111888098</v>
      </c>
      <c r="G2774" s="0" t="inlineStr">
        <is>
          <t>WOMENS</t>
        </is>
      </c>
      <c r="H2774" s="0" t="inlineStr">
        <is>
          <t>3XL</t>
        </is>
      </c>
      <c r="I2774" s="0">
        <v>51.99</v>
      </c>
      <c r="J2774" s="0">
        <v>6</v>
      </c>
    </row>
    <row r="2775" spans="1:10" customHeight="0">
      <c r="A2775" s="0">
        <f>HYPERLINK("https://dl.dropboxusercontent.com/scl/fi/lusmwc7zw1knfw8mbavz5/editdsc3386.jpg?rlkey=s9vwmbvzjqe1ram3383ffwd25&amp;dl=0","Click to download Image")</f>
      </c>
      <c r="B2775" s="0">
        <f>HYPERLINK("https://dl.dropboxusercontent.com/scl/fi/qf06nwt7ini1zjx25738w/womens-size-chartsmeredith.jpg?rlkey=kghetms7bjxmzlz01528s6utt&amp;dl=0","Click to download SizeChart")</f>
      </c>
      <c r="C2775" s="0" t="inlineStr">
        <is>
          <t>Meredith Women's Puffer Hooded Jacket</t>
        </is>
      </c>
      <c r="D2775" s="1">
        <v>111787</v>
      </c>
      <c r="E2775" s="0" t="inlineStr">
        <is>
          <t>IOWA MEREDITH GREY:111787AA-XS</t>
        </is>
      </c>
      <c r="F2775" s="2">
        <v>800111787032</v>
      </c>
      <c r="G2775" s="0" t="inlineStr">
        <is>
          <t>WOMENS</t>
        </is>
      </c>
      <c r="H2775" s="0" t="inlineStr">
        <is>
          <t>XS</t>
        </is>
      </c>
      <c r="I2775" s="0">
        <v>139.99</v>
      </c>
      <c r="J2775" s="0">
        <v>6</v>
      </c>
    </row>
    <row r="2776" spans="1:10" customHeight="0">
      <c r="A2776" s="0">
        <f>HYPERLINK("https://dl.dropboxusercontent.com/scl/fi/lusmwc7zw1knfw8mbavz5/editdsc3386.jpg?rlkey=s9vwmbvzjqe1ram3383ffwd25&amp;dl=0","Click to download Image")</f>
      </c>
      <c r="B2776" s="0">
        <f>HYPERLINK("https://dl.dropboxusercontent.com/scl/fi/qf06nwt7ini1zjx25738w/womens-size-chartsmeredith.jpg?rlkey=kghetms7bjxmzlz01528s6utt&amp;dl=0","Click to download SizeChart")</f>
      </c>
      <c r="C2776" s="0" t="inlineStr">
        <is>
          <t>Meredith Women's Puffer Hooded Jacket</t>
        </is>
      </c>
      <c r="D2776" s="1">
        <v>111787</v>
      </c>
      <c r="E2776" s="0" t="inlineStr">
        <is>
          <t>IOWA MEREDITH GREY:111787A-S</t>
        </is>
      </c>
      <c r="F2776" s="2">
        <v>800111787049</v>
      </c>
      <c r="G2776" s="0" t="inlineStr">
        <is>
          <t>WOMENS</t>
        </is>
      </c>
      <c r="H2776" s="0" t="inlineStr">
        <is>
          <t>S</t>
        </is>
      </c>
      <c r="I2776" s="0">
        <v>139.99</v>
      </c>
      <c r="J2776" s="0">
        <v>6</v>
      </c>
    </row>
    <row r="2777" spans="1:10" customHeight="0">
      <c r="A2777" s="0">
        <f>HYPERLINK("https://dl.dropboxusercontent.com/scl/fi/lusmwc7zw1knfw8mbavz5/editdsc3386.jpg?rlkey=s9vwmbvzjqe1ram3383ffwd25&amp;dl=0","Click to download Image")</f>
      </c>
      <c r="B2777" s="0">
        <f>HYPERLINK("https://dl.dropboxusercontent.com/scl/fi/qf06nwt7ini1zjx25738w/womens-size-chartsmeredith.jpg?rlkey=kghetms7bjxmzlz01528s6utt&amp;dl=0","Click to download SizeChart")</f>
      </c>
      <c r="C2777" s="0" t="inlineStr">
        <is>
          <t>Meredith Women's Puffer Hooded Jacket</t>
        </is>
      </c>
      <c r="D2777" s="1">
        <v>111787</v>
      </c>
      <c r="E2777" s="0" t="inlineStr">
        <is>
          <t>IOWA MEREDITH GREY:111787B-M</t>
        </is>
      </c>
      <c r="F2777" s="2">
        <v>800111787056</v>
      </c>
      <c r="G2777" s="0" t="inlineStr">
        <is>
          <t>WOMENS</t>
        </is>
      </c>
      <c r="H2777" s="0" t="inlineStr">
        <is>
          <t>M</t>
        </is>
      </c>
      <c r="I2777" s="0">
        <v>139.99</v>
      </c>
      <c r="J2777" s="0">
        <v>2</v>
      </c>
    </row>
    <row r="2778" spans="1:10" customHeight="0">
      <c r="A2778" s="0">
        <f>HYPERLINK("https://dl.dropboxusercontent.com/scl/fi/lusmwc7zw1knfw8mbavz5/editdsc3386.jpg?rlkey=s9vwmbvzjqe1ram3383ffwd25&amp;dl=0","Click to download Image")</f>
      </c>
      <c r="B2778" s="0">
        <f>HYPERLINK("https://dl.dropboxusercontent.com/scl/fi/qf06nwt7ini1zjx25738w/womens-size-chartsmeredith.jpg?rlkey=kghetms7bjxmzlz01528s6utt&amp;dl=0","Click to download SizeChart")</f>
      </c>
      <c r="C2778" s="0" t="inlineStr">
        <is>
          <t>Meredith Women's Puffer Hooded Jacket</t>
        </is>
      </c>
      <c r="D2778" s="1">
        <v>111787</v>
      </c>
      <c r="E2778" s="0" t="inlineStr">
        <is>
          <t>IOWA MEREDITH GREY:111787C-L</t>
        </is>
      </c>
      <c r="F2778" s="2">
        <v>800111787063</v>
      </c>
      <c r="G2778" s="0" t="inlineStr">
        <is>
          <t>WOMENS</t>
        </is>
      </c>
      <c r="H2778" s="0" t="inlineStr">
        <is>
          <t>L</t>
        </is>
      </c>
      <c r="I2778" s="0">
        <v>139.99</v>
      </c>
      <c r="J2778" s="0">
        <v>0</v>
      </c>
    </row>
    <row r="2779" spans="1:10" customHeight="0">
      <c r="A2779" s="0">
        <f>HYPERLINK("https://dl.dropboxusercontent.com/scl/fi/lusmwc7zw1knfw8mbavz5/editdsc3386.jpg?rlkey=s9vwmbvzjqe1ram3383ffwd25&amp;dl=0","Click to download Image")</f>
      </c>
      <c r="B2779" s="0">
        <f>HYPERLINK("https://dl.dropboxusercontent.com/scl/fi/qf06nwt7ini1zjx25738w/womens-size-chartsmeredith.jpg?rlkey=kghetms7bjxmzlz01528s6utt&amp;dl=0","Click to download SizeChart")</f>
      </c>
      <c r="C2779" s="0" t="inlineStr">
        <is>
          <t>Meredith Women's Puffer Hooded Jacket</t>
        </is>
      </c>
      <c r="D2779" s="1">
        <v>111787</v>
      </c>
      <c r="E2779" s="0" t="inlineStr">
        <is>
          <t>IOWA MEREDITH GREY:111787D-XL</t>
        </is>
      </c>
      <c r="F2779" s="2">
        <v>800111787070</v>
      </c>
      <c r="G2779" s="0" t="inlineStr">
        <is>
          <t>WOMENS</t>
        </is>
      </c>
      <c r="H2779" s="0" t="inlineStr">
        <is>
          <t>XL</t>
        </is>
      </c>
      <c r="I2779" s="0">
        <v>139.99</v>
      </c>
      <c r="J2779" s="0">
        <v>0</v>
      </c>
    </row>
    <row r="2780" spans="1:10" customHeight="0">
      <c r="A2780" s="0">
        <f>HYPERLINK("https://dl.dropboxusercontent.com/scl/fi/lusmwc7zw1knfw8mbavz5/editdsc3386.jpg?rlkey=s9vwmbvzjqe1ram3383ffwd25&amp;dl=0","Click to download Image")</f>
      </c>
      <c r="B2780" s="0">
        <f>HYPERLINK("https://dl.dropboxusercontent.com/scl/fi/qf06nwt7ini1zjx25738w/womens-size-chartsmeredith.jpg?rlkey=kghetms7bjxmzlz01528s6utt&amp;dl=0","Click to download SizeChart")</f>
      </c>
      <c r="C2780" s="0" t="inlineStr">
        <is>
          <t>Meredith Women's Puffer Hooded Jacket</t>
        </is>
      </c>
      <c r="D2780" s="1">
        <v>111787</v>
      </c>
      <c r="E2780" s="0" t="inlineStr">
        <is>
          <t>IOWA MEREDITH GREY:111787E-2XL</t>
        </is>
      </c>
      <c r="F2780" s="2">
        <v>800111787087</v>
      </c>
      <c r="G2780" s="0" t="inlineStr">
        <is>
          <t>WOMENS</t>
        </is>
      </c>
      <c r="H2780" s="0" t="inlineStr">
        <is>
          <t>2XL</t>
        </is>
      </c>
      <c r="I2780" s="0">
        <v>141.99</v>
      </c>
      <c r="J2780" s="0">
        <v>0</v>
      </c>
    </row>
    <row r="2781" spans="1:10" customHeight="0">
      <c r="A2781" s="0">
        <f>HYPERLINK("https://dl.dropboxusercontent.com/scl/fi/lusmwc7zw1knfw8mbavz5/editdsc3386.jpg?rlkey=s9vwmbvzjqe1ram3383ffwd25&amp;dl=0","Click to download Image")</f>
      </c>
      <c r="B2781" s="0">
        <f>HYPERLINK("https://dl.dropboxusercontent.com/scl/fi/qf06nwt7ini1zjx25738w/womens-size-chartsmeredith.jpg?rlkey=kghetms7bjxmzlz01528s6utt&amp;dl=0","Click to download SizeChart")</f>
      </c>
      <c r="C2781" s="0" t="inlineStr">
        <is>
          <t>Meredith Women's Puffer Hooded Jacket</t>
        </is>
      </c>
      <c r="D2781" s="1">
        <v>111787</v>
      </c>
      <c r="E2781" s="0" t="inlineStr">
        <is>
          <t>IOWA MEREDITH GREY:111787F-3XL</t>
        </is>
      </c>
      <c r="F2781" s="2">
        <v>800111787094</v>
      </c>
      <c r="G2781" s="0" t="inlineStr">
        <is>
          <t>WOMENS</t>
        </is>
      </c>
      <c r="H2781" s="0" t="inlineStr">
        <is>
          <t>3XL</t>
        </is>
      </c>
      <c r="I2781" s="0">
        <v>141.99</v>
      </c>
      <c r="J2781" s="0">
        <v>0</v>
      </c>
    </row>
    <row r="2782" spans="1:10" customHeight="0">
      <c r="A2782" s="0">
        <f>HYPERLINK("https://dl.dropboxusercontent.com/scl/fi/bb5l9diildgwz588cjzag/667a5098-bc.jpg?rlkey=neyctbdbhbvod0ly8a15ya6xo&amp;dl=0","Click to download Image")</f>
      </c>
      <c r="C2782" s="0" t="inlineStr">
        <is>
          <t>Taylor Foam Infant Cap</t>
        </is>
      </c>
      <c r="D2782" s="1">
        <v>103965</v>
      </c>
      <c r="E2782" s="0" t="inlineStr">
        <is>
          <t>TAYLOR:103965</t>
        </is>
      </c>
      <c r="G2782" s="0" t="inlineStr">
        <is>
          <t>INFANT</t>
        </is>
      </c>
      <c r="H2782" s="0" t="inlineStr">
        <is>
          <t>INFANT</t>
        </is>
      </c>
      <c r="I2782" s="0">
        <v>15.99</v>
      </c>
      <c r="J2782" s="0">
        <v>54</v>
      </c>
    </row>
    <row r="2783" spans="1:10" customHeight="0">
      <c r="A2783" s="0">
        <f>HYPERLINK("https://dl.dropboxusercontent.com/scl/fi/e8qqtt0gdkeermdh8r0ns/105587f08207.jpg?rlkey=9u3fsard5uqf813q51xd4pyi4&amp;dl=0","Click to download Image")</f>
      </c>
      <c r="B2783" s="0">
        <f>HYPERLINK("https://dl.dropboxusercontent.com/scl/fi/gdicwy7awm0br835o15p8/size-charts-toddler-shirt-a.jpg?rlkey=mwav557dukvav74o4nfp7ozdj&amp;dl=0","Click to download SizeChart")</f>
      </c>
      <c r="C2783" s="0" t="inlineStr">
        <is>
          <t>Ralston Toddler Polo</t>
        </is>
      </c>
      <c r="D2783" s="1">
        <v>105587</v>
      </c>
      <c r="E2783" s="0" t="inlineStr">
        <is>
          <t>RALSTON:105587A-2T</t>
        </is>
      </c>
      <c r="F2783" s="2">
        <v>80010558701</v>
      </c>
      <c r="G2783" s="0" t="inlineStr">
        <is>
          <t>TODDLER</t>
        </is>
      </c>
      <c r="H2783" s="0" t="inlineStr">
        <is>
          <t>2T</t>
        </is>
      </c>
      <c r="I2783" s="0">
        <v>19.99</v>
      </c>
      <c r="J2783" s="0">
        <v>13</v>
      </c>
    </row>
    <row r="2784" spans="1:10" customHeight="0">
      <c r="A2784" s="0">
        <f>HYPERLINK("https://dl.dropboxusercontent.com/scl/fi/e8qqtt0gdkeermdh8r0ns/105587f08207.jpg?rlkey=9u3fsard5uqf813q51xd4pyi4&amp;dl=0","Click to download Image")</f>
      </c>
      <c r="B2784" s="0">
        <f>HYPERLINK("https://dl.dropboxusercontent.com/scl/fi/gdicwy7awm0br835o15p8/size-charts-toddler-shirt-a.jpg?rlkey=mwav557dukvav74o4nfp7ozdj&amp;dl=0","Click to download SizeChart")</f>
      </c>
      <c r="C2784" s="0" t="inlineStr">
        <is>
          <t>Ralston Toddler Polo</t>
        </is>
      </c>
      <c r="D2784" s="1">
        <v>105587</v>
      </c>
      <c r="E2784" s="0" t="inlineStr">
        <is>
          <t>RALSTON:105587B-3T</t>
        </is>
      </c>
      <c r="F2784" s="2">
        <v>80010558702</v>
      </c>
      <c r="G2784" s="0" t="inlineStr">
        <is>
          <t>TODDLER</t>
        </is>
      </c>
      <c r="H2784" s="0" t="inlineStr">
        <is>
          <t>3T</t>
        </is>
      </c>
      <c r="I2784" s="0">
        <v>19.99</v>
      </c>
      <c r="J2784" s="0">
        <v>19</v>
      </c>
    </row>
    <row r="2785" spans="1:10" customHeight="0">
      <c r="A2785" s="0">
        <f>HYPERLINK("https://dl.dropboxusercontent.com/scl/fi/e8qqtt0gdkeermdh8r0ns/105587f08207.jpg?rlkey=9u3fsard5uqf813q51xd4pyi4&amp;dl=0","Click to download Image")</f>
      </c>
      <c r="B2785" s="0">
        <f>HYPERLINK("https://dl.dropboxusercontent.com/scl/fi/gdicwy7awm0br835o15p8/size-charts-toddler-shirt-a.jpg?rlkey=mwav557dukvav74o4nfp7ozdj&amp;dl=0","Click to download SizeChart")</f>
      </c>
      <c r="C2785" s="0" t="inlineStr">
        <is>
          <t>Ralston Toddler Polo</t>
        </is>
      </c>
      <c r="D2785" s="1">
        <v>105587</v>
      </c>
      <c r="E2785" s="0" t="inlineStr">
        <is>
          <t>RALSTON:105587C-4T</t>
        </is>
      </c>
      <c r="F2785" s="2">
        <v>80010558703</v>
      </c>
      <c r="G2785" s="0" t="inlineStr">
        <is>
          <t>TODDLER</t>
        </is>
      </c>
      <c r="H2785" s="0" t="inlineStr">
        <is>
          <t>4T</t>
        </is>
      </c>
      <c r="I2785" s="0">
        <v>19.99</v>
      </c>
      <c r="J2785" s="0">
        <v>21</v>
      </c>
    </row>
    <row r="2786" spans="1:10" customHeight="0">
      <c r="A2786" s="0">
        <f>HYPERLINK("https://dl.dropboxusercontent.com/scl/fi/e8qqtt0gdkeermdh8r0ns/105587f08207.jpg?rlkey=9u3fsard5uqf813q51xd4pyi4&amp;dl=0","Click to download Image")</f>
      </c>
      <c r="B2786" s="0">
        <f>HYPERLINK("https://dl.dropboxusercontent.com/scl/fi/gdicwy7awm0br835o15p8/size-charts-toddler-shirt-a.jpg?rlkey=mwav557dukvav74o4nfp7ozdj&amp;dl=0","Click to download SizeChart")</f>
      </c>
      <c r="C2786" s="0" t="inlineStr">
        <is>
          <t>Ralston Toddler Polo</t>
        </is>
      </c>
      <c r="D2786" s="1">
        <v>105587</v>
      </c>
      <c r="E2786" s="0" t="inlineStr">
        <is>
          <t>RALSTON:105587D-5T</t>
        </is>
      </c>
      <c r="F2786" s="2">
        <v>80010558704</v>
      </c>
      <c r="G2786" s="0" t="inlineStr">
        <is>
          <t>TODDLER</t>
        </is>
      </c>
      <c r="H2786" s="0" t="inlineStr">
        <is>
          <t>5T</t>
        </is>
      </c>
      <c r="I2786" s="0">
        <v>19.99</v>
      </c>
      <c r="J2786" s="0">
        <v>35</v>
      </c>
    </row>
    <row r="2787" spans="1:10" customHeight="0">
      <c r="A2787" s="0">
        <f>HYPERLINK("https://dl.dropboxusercontent.com/scl/fi/c6hcw35d92n8i5p531b7g/103965-af.jpg?rlkey=k1vbhjnpjxkcsomtop0efo5ru&amp;dl=0","Click to download Image")</f>
      </c>
      <c r="C2787" s="0" t="inlineStr">
        <is>
          <t>Taylor Foam Toddler Cap</t>
        </is>
      </c>
      <c r="D2787" s="1">
        <v>104635</v>
      </c>
      <c r="E2787" s="0" t="inlineStr">
        <is>
          <t>TAYLOR:104635</t>
        </is>
      </c>
      <c r="G2787" s="0" t="inlineStr">
        <is>
          <t>TODDLER</t>
        </is>
      </c>
      <c r="H2787" s="0" t="inlineStr">
        <is>
          <t>TODDLER</t>
        </is>
      </c>
      <c r="I2787" s="0">
        <v>15.99</v>
      </c>
      <c r="J2787" s="0">
        <v>97</v>
      </c>
    </row>
    <row r="2788" spans="1:10" customHeight="0">
      <c r="A2788" s="0">
        <f>HYPERLINK("https://dl.dropboxusercontent.com/scl/fi/8pmyyvtlwrrd2g2ejkgd1/105698af90530.jpg?rlkey=xle1bjbvog4jh6k7ngqwaebeb&amp;dl=0","Click to download Image")</f>
      </c>
      <c r="C2788" s="0" t="inlineStr">
        <is>
          <t>Jane Women's Fleece Headband</t>
        </is>
      </c>
      <c r="D2788" s="1">
        <v>106787</v>
      </c>
      <c r="E2788" s="0" t="inlineStr">
        <is>
          <t>IOWA JANE HEADBAND:106787</t>
        </is>
      </c>
      <c r="F2788" s="2">
        <v>700106787019</v>
      </c>
      <c r="G2788" s="0" t="inlineStr">
        <is>
          <t>WOMENS</t>
        </is>
      </c>
      <c r="H2788" s="0" t="inlineStr">
        <is>
          <t>OSFM</t>
        </is>
      </c>
      <c r="I2788" s="0">
        <v>18.99</v>
      </c>
      <c r="J2788" s="0">
        <v>88</v>
      </c>
    </row>
    <row r="2789" spans="1:10" customHeight="0">
      <c r="A2789" s="0">
        <f>HYPERLINK("https://dl.dropboxusercontent.com/scl/fi/zynhc3h5hccwpzhyld7r5/98539f.jpg?rlkey=4mk2udtbjgz8w3hmb0hpwouoy&amp;dl=0","Click to download Image")</f>
      </c>
      <c r="B2789" s="0">
        <f>HYPERLINK("https://dl.dropboxusercontent.com/scl/fi/oteshraljccni4fanrefj/graphic-update22022-infant.jpg?rlkey=vqyqczxksen3wkabxczspzj6l&amp;dl=0","Click to download SizeChart")</f>
      </c>
      <c r="C2789" s="0" t="inlineStr">
        <is>
          <t>Wyatt Camo Infant Romper</t>
        </is>
      </c>
      <c r="D2789" s="1">
        <v>98539</v>
      </c>
      <c r="E2789" s="0" t="inlineStr">
        <is>
          <t>WYATT:98539A-0-3M</t>
        </is>
      </c>
      <c r="G2789" s="0" t="inlineStr">
        <is>
          <t>INFANT</t>
        </is>
      </c>
      <c r="H2789" s="0" t="inlineStr">
        <is>
          <t>0-3M</t>
        </is>
      </c>
      <c r="I2789" s="0">
        <v>34.99</v>
      </c>
      <c r="J2789" s="0">
        <v>32</v>
      </c>
    </row>
    <row r="2790" spans="1:10" customHeight="0">
      <c r="A2790" s="0">
        <f>HYPERLINK("https://dl.dropboxusercontent.com/scl/fi/zynhc3h5hccwpzhyld7r5/98539f.jpg?rlkey=4mk2udtbjgz8w3hmb0hpwouoy&amp;dl=0","Click to download Image")</f>
      </c>
      <c r="B2790" s="0">
        <f>HYPERLINK("https://dl.dropboxusercontent.com/scl/fi/oteshraljccni4fanrefj/graphic-update22022-infant.jpg?rlkey=vqyqczxksen3wkabxczspzj6l&amp;dl=0","Click to download SizeChart")</f>
      </c>
      <c r="C2790" s="0" t="inlineStr">
        <is>
          <t>Wyatt Camo Infant Romper</t>
        </is>
      </c>
      <c r="D2790" s="1">
        <v>98539</v>
      </c>
      <c r="E2790" s="0" t="inlineStr">
        <is>
          <t>WYATT:98539B-3-6M</t>
        </is>
      </c>
      <c r="G2790" s="0" t="inlineStr">
        <is>
          <t>INFANT</t>
        </is>
      </c>
      <c r="H2790" s="0" t="inlineStr">
        <is>
          <t>3-6M</t>
        </is>
      </c>
      <c r="I2790" s="0">
        <v>34.99</v>
      </c>
      <c r="J2790" s="0">
        <v>30</v>
      </c>
    </row>
    <row r="2791" spans="1:10" customHeight="0">
      <c r="A2791" s="0">
        <f>HYPERLINK("https://dl.dropboxusercontent.com/scl/fi/zynhc3h5hccwpzhyld7r5/98539f.jpg?rlkey=4mk2udtbjgz8w3hmb0hpwouoy&amp;dl=0","Click to download Image")</f>
      </c>
      <c r="B2791" s="0">
        <f>HYPERLINK("https://dl.dropboxusercontent.com/scl/fi/oteshraljccni4fanrefj/graphic-update22022-infant.jpg?rlkey=vqyqczxksen3wkabxczspzj6l&amp;dl=0","Click to download SizeChart")</f>
      </c>
      <c r="C2791" s="0" t="inlineStr">
        <is>
          <t>Wyatt Camo Infant Romper</t>
        </is>
      </c>
      <c r="D2791" s="1">
        <v>98539</v>
      </c>
      <c r="E2791" s="0" t="inlineStr">
        <is>
          <t>WYATT:98539C-6-9M</t>
        </is>
      </c>
      <c r="G2791" s="0" t="inlineStr">
        <is>
          <t>INFANT</t>
        </is>
      </c>
      <c r="H2791" s="0" t="inlineStr">
        <is>
          <t>6-9M</t>
        </is>
      </c>
      <c r="I2791" s="0">
        <v>34.99</v>
      </c>
      <c r="J2791" s="0">
        <v>26</v>
      </c>
    </row>
    <row r="2792" spans="1:10" customHeight="0">
      <c r="A2792" s="0">
        <f>HYPERLINK("https://dl.dropboxusercontent.com/scl/fi/zynhc3h5hccwpzhyld7r5/98539f.jpg?rlkey=4mk2udtbjgz8w3hmb0hpwouoy&amp;dl=0","Click to download Image")</f>
      </c>
      <c r="B2792" s="0">
        <f>HYPERLINK("https://dl.dropboxusercontent.com/scl/fi/oteshraljccni4fanrefj/graphic-update22022-infant.jpg?rlkey=vqyqczxksen3wkabxczspzj6l&amp;dl=0","Click to download SizeChart")</f>
      </c>
      <c r="C2792" s="0" t="inlineStr">
        <is>
          <t>Wyatt Camo Infant Romper</t>
        </is>
      </c>
      <c r="D2792" s="1">
        <v>98539</v>
      </c>
      <c r="E2792" s="0" t="inlineStr">
        <is>
          <t>WYATT:98539D-12M</t>
        </is>
      </c>
      <c r="G2792" s="0" t="inlineStr">
        <is>
          <t>INFANT</t>
        </is>
      </c>
      <c r="H2792" s="0" t="inlineStr">
        <is>
          <t>12M</t>
        </is>
      </c>
      <c r="I2792" s="0">
        <v>34.99</v>
      </c>
      <c r="J2792" s="0">
        <v>25</v>
      </c>
    </row>
    <row r="2793" spans="1:10" customHeight="0">
      <c r="A2793" s="0">
        <f>HYPERLINK("https://dl.dropboxusercontent.com/scl/fi/s68jei9998mwabis5ia8m/101149f.jpg?rlkey=ohcknznw4h09v4rqnyvpbws5q&amp;dl=0","Click to download Image")</f>
      </c>
      <c r="B2793" s="0">
        <f>HYPERLINK("https://dl.dropboxusercontent.com/scl/fi/xdueb6mchrkffj36haw33/graphic-update22022-infant.jpg?rlkey=kmnej11g7rfjdz5939s0tfcr7&amp;dl=0","Click to download SizeChart")</f>
      </c>
      <c r="C2793" s="0" t="inlineStr">
        <is>
          <t>Sylvia Tutu Infant Bodysuit</t>
        </is>
      </c>
      <c r="D2793" s="1">
        <v>101149</v>
      </c>
      <c r="E2793" s="0" t="inlineStr">
        <is>
          <t>SYLVIA:101149A-0-3M</t>
        </is>
      </c>
      <c r="G2793" s="0" t="inlineStr">
        <is>
          <t>INFANT</t>
        </is>
      </c>
      <c r="H2793" s="0" t="inlineStr">
        <is>
          <t>0-3M</t>
        </is>
      </c>
      <c r="I2793" s="0">
        <v>29.99</v>
      </c>
      <c r="J2793" s="0">
        <v>15</v>
      </c>
    </row>
    <row r="2794" spans="1:10" customHeight="0">
      <c r="A2794" s="0">
        <f>HYPERLINK("https://dl.dropboxusercontent.com/scl/fi/s68jei9998mwabis5ia8m/101149f.jpg?rlkey=ohcknznw4h09v4rqnyvpbws5q&amp;dl=0","Click to download Image")</f>
      </c>
      <c r="B2794" s="0">
        <f>HYPERLINK("https://dl.dropboxusercontent.com/scl/fi/xdueb6mchrkffj36haw33/graphic-update22022-infant.jpg?rlkey=kmnej11g7rfjdz5939s0tfcr7&amp;dl=0","Click to download SizeChart")</f>
      </c>
      <c r="C2794" s="0" t="inlineStr">
        <is>
          <t>Sylvia Tutu Infant Bodysuit</t>
        </is>
      </c>
      <c r="D2794" s="1">
        <v>101149</v>
      </c>
      <c r="E2794" s="0" t="inlineStr">
        <is>
          <t>SYLVIA:101149B-3-6M</t>
        </is>
      </c>
      <c r="G2794" s="0" t="inlineStr">
        <is>
          <t>INFANT</t>
        </is>
      </c>
      <c r="H2794" s="0" t="inlineStr">
        <is>
          <t>3-6M</t>
        </is>
      </c>
      <c r="I2794" s="0">
        <v>29.99</v>
      </c>
      <c r="J2794" s="0">
        <v>0</v>
      </c>
    </row>
    <row r="2795" spans="1:10" customHeight="0">
      <c r="A2795" s="0">
        <f>HYPERLINK("https://dl.dropboxusercontent.com/scl/fi/s68jei9998mwabis5ia8m/101149f.jpg?rlkey=ohcknznw4h09v4rqnyvpbws5q&amp;dl=0","Click to download Image")</f>
      </c>
      <c r="B2795" s="0">
        <f>HYPERLINK("https://dl.dropboxusercontent.com/scl/fi/xdueb6mchrkffj36haw33/graphic-update22022-infant.jpg?rlkey=kmnej11g7rfjdz5939s0tfcr7&amp;dl=0","Click to download SizeChart")</f>
      </c>
      <c r="C2795" s="0" t="inlineStr">
        <is>
          <t>Sylvia Tutu Infant Bodysuit</t>
        </is>
      </c>
      <c r="D2795" s="1">
        <v>101149</v>
      </c>
      <c r="E2795" s="0" t="inlineStr">
        <is>
          <t>SYLVIA:101149C-6-9M</t>
        </is>
      </c>
      <c r="G2795" s="0" t="inlineStr">
        <is>
          <t>INFANT</t>
        </is>
      </c>
      <c r="H2795" s="0" t="inlineStr">
        <is>
          <t>6-9M</t>
        </is>
      </c>
      <c r="I2795" s="0">
        <v>29.99</v>
      </c>
      <c r="J2795" s="0">
        <v>2</v>
      </c>
    </row>
    <row r="2796" spans="1:10" customHeight="0">
      <c r="A2796" s="0">
        <f>HYPERLINK("https://dl.dropboxusercontent.com/scl/fi/s68jei9998mwabis5ia8m/101149f.jpg?rlkey=ohcknznw4h09v4rqnyvpbws5q&amp;dl=0","Click to download Image")</f>
      </c>
      <c r="B2796" s="0">
        <f>HYPERLINK("https://dl.dropboxusercontent.com/scl/fi/xdueb6mchrkffj36haw33/graphic-update22022-infant.jpg?rlkey=kmnej11g7rfjdz5939s0tfcr7&amp;dl=0","Click to download SizeChart")</f>
      </c>
      <c r="C2796" s="0" t="inlineStr">
        <is>
          <t>Sylvia Tutu Infant Bodysuit</t>
        </is>
      </c>
      <c r="D2796" s="1">
        <v>101149</v>
      </c>
      <c r="E2796" s="0" t="inlineStr">
        <is>
          <t>SYLVIA:101149D-12M</t>
        </is>
      </c>
      <c r="G2796" s="0" t="inlineStr">
        <is>
          <t>INFANT</t>
        </is>
      </c>
      <c r="H2796" s="0" t="inlineStr">
        <is>
          <t>12M</t>
        </is>
      </c>
      <c r="I2796" s="0">
        <v>29.99</v>
      </c>
      <c r="J2796" s="0">
        <v>20</v>
      </c>
    </row>
    <row r="2797" spans="1:10" customHeight="0">
      <c r="A2797" s="0">
        <f>HYPERLINK("https://dl.dropboxusercontent.com/scl/fi/zwp2b9n0o4ztf50xb72mq/97142f.jpg?rlkey=xxio9741f31f5lgi75od6waw4&amp;dl=0","Click to download Image")</f>
      </c>
      <c r="B2797" s="0">
        <f>HYPERLINK("https://dl.dropboxusercontent.com/scl/fi/5knf7jjexqjyupfxt6oku/size-chartladies-e.jpg?rlkey=49t43eqta1bdglqcf23dor499&amp;dl=0","Click to download SizeChart")</f>
      </c>
      <c r="C2797" s="0" t="inlineStr">
        <is>
          <t>Zoe Women's Floral Burnout Tank Top</t>
        </is>
      </c>
      <c r="D2797" s="1">
        <v>97142</v>
      </c>
      <c r="E2797" s="0" t="inlineStr">
        <is>
          <t>ZOE:97142A-S</t>
        </is>
      </c>
      <c r="G2797" s="0" t="inlineStr">
        <is>
          <t>WOMENS</t>
        </is>
      </c>
      <c r="H2797" s="0" t="inlineStr">
        <is>
          <t>S</t>
        </is>
      </c>
      <c r="I2797" s="0">
        <v>34.99</v>
      </c>
      <c r="J2797" s="0">
        <v>46</v>
      </c>
    </row>
    <row r="2798" spans="1:10" customHeight="0">
      <c r="A2798" s="0">
        <f>HYPERLINK("https://dl.dropboxusercontent.com/scl/fi/zwp2b9n0o4ztf50xb72mq/97142f.jpg?rlkey=xxio9741f31f5lgi75od6waw4&amp;dl=0","Click to download Image")</f>
      </c>
      <c r="B2798" s="0">
        <f>HYPERLINK("https://dl.dropboxusercontent.com/scl/fi/5knf7jjexqjyupfxt6oku/size-chartladies-e.jpg?rlkey=49t43eqta1bdglqcf23dor499&amp;dl=0","Click to download SizeChart")</f>
      </c>
      <c r="C2798" s="0" t="inlineStr">
        <is>
          <t>Zoe Women's Floral Burnout Tank Top</t>
        </is>
      </c>
      <c r="D2798" s="1">
        <v>97142</v>
      </c>
      <c r="E2798" s="0" t="inlineStr">
        <is>
          <t>ZOE:97142B-M</t>
        </is>
      </c>
      <c r="G2798" s="0" t="inlineStr">
        <is>
          <t>WOMENS</t>
        </is>
      </c>
      <c r="H2798" s="0" t="inlineStr">
        <is>
          <t>M</t>
        </is>
      </c>
      <c r="I2798" s="0">
        <v>34.99</v>
      </c>
      <c r="J2798" s="0">
        <v>51</v>
      </c>
    </row>
    <row r="2799" spans="1:10" customHeight="0">
      <c r="A2799" s="0">
        <f>HYPERLINK("https://dl.dropboxusercontent.com/scl/fi/zwp2b9n0o4ztf50xb72mq/97142f.jpg?rlkey=xxio9741f31f5lgi75od6waw4&amp;dl=0","Click to download Image")</f>
      </c>
      <c r="B2799" s="0">
        <f>HYPERLINK("https://dl.dropboxusercontent.com/scl/fi/5knf7jjexqjyupfxt6oku/size-chartladies-e.jpg?rlkey=49t43eqta1bdglqcf23dor499&amp;dl=0","Click to download SizeChart")</f>
      </c>
      <c r="C2799" s="0" t="inlineStr">
        <is>
          <t>Zoe Women's Floral Burnout Tank Top</t>
        </is>
      </c>
      <c r="D2799" s="1">
        <v>97142</v>
      </c>
      <c r="E2799" s="0" t="inlineStr">
        <is>
          <t>ZOE:97142C-L</t>
        </is>
      </c>
      <c r="G2799" s="0" t="inlineStr">
        <is>
          <t>WOMENS</t>
        </is>
      </c>
      <c r="H2799" s="0" t="inlineStr">
        <is>
          <t>L</t>
        </is>
      </c>
      <c r="I2799" s="0">
        <v>34.99</v>
      </c>
      <c r="J2799" s="0">
        <v>109</v>
      </c>
    </row>
    <row r="2800" spans="1:10" customHeight="0">
      <c r="A2800" s="0">
        <f>HYPERLINK("https://dl.dropboxusercontent.com/scl/fi/zwp2b9n0o4ztf50xb72mq/97142f.jpg?rlkey=xxio9741f31f5lgi75od6waw4&amp;dl=0","Click to download Image")</f>
      </c>
      <c r="B2800" s="0">
        <f>HYPERLINK("https://dl.dropboxusercontent.com/scl/fi/5knf7jjexqjyupfxt6oku/size-chartladies-e.jpg?rlkey=49t43eqta1bdglqcf23dor499&amp;dl=0","Click to download SizeChart")</f>
      </c>
      <c r="C2800" s="0" t="inlineStr">
        <is>
          <t>Zoe Women's Floral Burnout Tank Top</t>
        </is>
      </c>
      <c r="D2800" s="1">
        <v>97142</v>
      </c>
      <c r="E2800" s="0" t="inlineStr">
        <is>
          <t>ZOE:97142D-XL</t>
        </is>
      </c>
      <c r="G2800" s="0" t="inlineStr">
        <is>
          <t>WOMENS</t>
        </is>
      </c>
      <c r="H2800" s="0" t="inlineStr">
        <is>
          <t>XL</t>
        </is>
      </c>
      <c r="I2800" s="0">
        <v>34.99</v>
      </c>
      <c r="J2800" s="0">
        <v>127</v>
      </c>
    </row>
    <row r="2801" spans="1:10" customHeight="0">
      <c r="A2801" s="0">
        <f>HYPERLINK("https://dl.dropboxusercontent.com/scl/fi/zwp2b9n0o4ztf50xb72mq/97142f.jpg?rlkey=xxio9741f31f5lgi75od6waw4&amp;dl=0","Click to download Image")</f>
      </c>
      <c r="B2801" s="0">
        <f>HYPERLINK("https://dl.dropboxusercontent.com/scl/fi/5knf7jjexqjyupfxt6oku/size-chartladies-e.jpg?rlkey=49t43eqta1bdglqcf23dor499&amp;dl=0","Click to download SizeChart")</f>
      </c>
      <c r="C2801" s="0" t="inlineStr">
        <is>
          <t>Zoe Women's Floral Burnout Tank Top</t>
        </is>
      </c>
      <c r="D2801" s="1">
        <v>97142</v>
      </c>
      <c r="E2801" s="0" t="inlineStr">
        <is>
          <t>ZOE:97142E-2XL</t>
        </is>
      </c>
      <c r="G2801" s="0" t="inlineStr">
        <is>
          <t>WOMENS</t>
        </is>
      </c>
      <c r="H2801" s="0" t="inlineStr">
        <is>
          <t>2XL</t>
        </is>
      </c>
      <c r="I2801" s="0">
        <v>36.99</v>
      </c>
      <c r="J2801" s="0">
        <v>45</v>
      </c>
    </row>
    <row r="2802" spans="1:10" customHeight="0">
      <c r="A2802" s="0">
        <f>HYPERLINK("https://dl.dropboxusercontent.com/scl/fi/3beaogkw1p2712u4sme1n/97819-f.jpg?rlkey=qrxp158qbyl8naxrh41d5m56g&amp;dl=0","Click to download Image")</f>
      </c>
      <c r="B2802" s="0">
        <f>HYPERLINK("https://dl.dropboxusercontent.com/scl/fi/5knf7jjexqjyupfxt6oku/size-chartladies-e.jpg?rlkey=49t43eqta1bdglqcf23dor499&amp;dl=0","Click to download SizeChart")</f>
      </c>
      <c r="C2802" s="0" t="inlineStr">
        <is>
          <t>Zoe Women's Floral Burnout Tank Top</t>
        </is>
      </c>
      <c r="D2802" s="1">
        <v>97819</v>
      </c>
      <c r="E2802" s="0" t="inlineStr">
        <is>
          <t>ZOE:97819A-S</t>
        </is>
      </c>
      <c r="G2802" s="0" t="inlineStr">
        <is>
          <t>WOMENS</t>
        </is>
      </c>
      <c r="H2802" s="0" t="inlineStr">
        <is>
          <t>S</t>
        </is>
      </c>
      <c r="I2802" s="0">
        <v>34.99</v>
      </c>
      <c r="J2802" s="0">
        <v>15</v>
      </c>
    </row>
    <row r="2803" spans="1:10" customHeight="0">
      <c r="A2803" s="0">
        <f>HYPERLINK("https://dl.dropboxusercontent.com/scl/fi/3beaogkw1p2712u4sme1n/97819-f.jpg?rlkey=qrxp158qbyl8naxrh41d5m56g&amp;dl=0","Click to download Image")</f>
      </c>
      <c r="B2803" s="0">
        <f>HYPERLINK("https://dl.dropboxusercontent.com/scl/fi/5knf7jjexqjyupfxt6oku/size-chartladies-e.jpg?rlkey=49t43eqta1bdglqcf23dor499&amp;dl=0","Click to download SizeChart")</f>
      </c>
      <c r="C2803" s="0" t="inlineStr">
        <is>
          <t>Zoe Women's Floral Burnout Tank Top</t>
        </is>
      </c>
      <c r="D2803" s="1">
        <v>97819</v>
      </c>
      <c r="E2803" s="0" t="inlineStr">
        <is>
          <t>ZOE:97819B-M</t>
        </is>
      </c>
      <c r="G2803" s="0" t="inlineStr">
        <is>
          <t>WOMENS</t>
        </is>
      </c>
      <c r="H2803" s="0" t="inlineStr">
        <is>
          <t>M</t>
        </is>
      </c>
      <c r="I2803" s="0">
        <v>34.99</v>
      </c>
      <c r="J2803" s="0">
        <v>21</v>
      </c>
    </row>
    <row r="2804" spans="1:10" customHeight="0">
      <c r="A2804" s="0">
        <f>HYPERLINK("https://dl.dropboxusercontent.com/scl/fi/3beaogkw1p2712u4sme1n/97819-f.jpg?rlkey=qrxp158qbyl8naxrh41d5m56g&amp;dl=0","Click to download Image")</f>
      </c>
      <c r="B2804" s="0">
        <f>HYPERLINK("https://dl.dropboxusercontent.com/scl/fi/5knf7jjexqjyupfxt6oku/size-chartladies-e.jpg?rlkey=49t43eqta1bdglqcf23dor499&amp;dl=0","Click to download SizeChart")</f>
      </c>
      <c r="C2804" s="0" t="inlineStr">
        <is>
          <t>Zoe Women's Floral Burnout Tank Top</t>
        </is>
      </c>
      <c r="D2804" s="1">
        <v>97819</v>
      </c>
      <c r="E2804" s="0" t="inlineStr">
        <is>
          <t>ZOE:97819C-L</t>
        </is>
      </c>
      <c r="G2804" s="0" t="inlineStr">
        <is>
          <t>WOMENS</t>
        </is>
      </c>
      <c r="H2804" s="0" t="inlineStr">
        <is>
          <t>L</t>
        </is>
      </c>
      <c r="I2804" s="0">
        <v>34.99</v>
      </c>
      <c r="J2804" s="0">
        <v>28</v>
      </c>
    </row>
    <row r="2805" spans="1:10" customHeight="0">
      <c r="A2805" s="0">
        <f>HYPERLINK("https://dl.dropboxusercontent.com/scl/fi/3beaogkw1p2712u4sme1n/97819-f.jpg?rlkey=qrxp158qbyl8naxrh41d5m56g&amp;dl=0","Click to download Image")</f>
      </c>
      <c r="B2805" s="0">
        <f>HYPERLINK("https://dl.dropboxusercontent.com/scl/fi/5knf7jjexqjyupfxt6oku/size-chartladies-e.jpg?rlkey=49t43eqta1bdglqcf23dor499&amp;dl=0","Click to download SizeChart")</f>
      </c>
      <c r="C2805" s="0" t="inlineStr">
        <is>
          <t>Zoe Women's Floral Burnout Tank Top</t>
        </is>
      </c>
      <c r="D2805" s="1">
        <v>97819</v>
      </c>
      <c r="E2805" s="0" t="inlineStr">
        <is>
          <t>ZOE:97819D-XL</t>
        </is>
      </c>
      <c r="G2805" s="0" t="inlineStr">
        <is>
          <t>WOMENS</t>
        </is>
      </c>
      <c r="H2805" s="0" t="inlineStr">
        <is>
          <t>XL</t>
        </is>
      </c>
      <c r="I2805" s="0">
        <v>34.99</v>
      </c>
      <c r="J2805" s="0">
        <v>30</v>
      </c>
    </row>
    <row r="2806" spans="1:10" customHeight="0">
      <c r="A2806" s="0">
        <f>HYPERLINK("https://dl.dropboxusercontent.com/scl/fi/3beaogkw1p2712u4sme1n/97819-f.jpg?rlkey=qrxp158qbyl8naxrh41d5m56g&amp;dl=0","Click to download Image")</f>
      </c>
      <c r="B2806" s="0">
        <f>HYPERLINK("https://dl.dropboxusercontent.com/scl/fi/5knf7jjexqjyupfxt6oku/size-chartladies-e.jpg?rlkey=49t43eqta1bdglqcf23dor499&amp;dl=0","Click to download SizeChart")</f>
      </c>
      <c r="C2806" s="0" t="inlineStr">
        <is>
          <t>Zoe Women's Floral Burnout Tank Top</t>
        </is>
      </c>
      <c r="D2806" s="1">
        <v>97819</v>
      </c>
      <c r="E2806" s="0" t="inlineStr">
        <is>
          <t>ZOE:97819E-2XL</t>
        </is>
      </c>
      <c r="G2806" s="0" t="inlineStr">
        <is>
          <t>WOMENS</t>
        </is>
      </c>
      <c r="H2806" s="0" t="inlineStr">
        <is>
          <t>2XL</t>
        </is>
      </c>
      <c r="I2806" s="0">
        <v>36.99</v>
      </c>
      <c r="J2806" s="0">
        <v>15</v>
      </c>
    </row>
    <row r="2807" spans="1:10" customHeight="0">
      <c r="A2807" s="0">
        <f>HYPERLINK("https://dl.dropboxusercontent.com/scl/fi/4mn60kms4kjzu8kfkas9q/92720af.jpg?rlkey=0zmrnk7bu6jd9avj1h660h7h1&amp;dl=0","Click to download Image")</f>
      </c>
      <c r="B2807" s="0">
        <f>HYPERLINK("https://dl.dropboxusercontent.com/scl/fi/jwr1sa68g7ftidxe19v87/ladies-a.jpg?rlkey=gx9wiw2dusl9xqoptcrwisemm&amp;dl=0","Click to download SizeChart")</f>
      </c>
      <c r="C2807" s="0" t="inlineStr">
        <is>
          <t>Zaun Women's Pink Rhinestone Fitness Jacket</t>
        </is>
      </c>
      <c r="D2807" s="1">
        <v>91888</v>
      </c>
      <c r="E2807" s="0" t="inlineStr">
        <is>
          <t>ZAUN:91888C-L</t>
        </is>
      </c>
      <c r="G2807" s="0" t="inlineStr">
        <is>
          <t>WOMENS</t>
        </is>
      </c>
      <c r="H2807" s="0" t="inlineStr">
        <is>
          <t>L</t>
        </is>
      </c>
      <c r="I2807" s="0">
        <v>59.99</v>
      </c>
      <c r="J2807" s="0">
        <v>23</v>
      </c>
    </row>
    <row r="2808" spans="1:10" customHeight="0">
      <c r="A2808" s="0">
        <f>HYPERLINK("https://dl.dropboxusercontent.com/scl/fi/4mn60kms4kjzu8kfkas9q/92720af.jpg?rlkey=0zmrnk7bu6jd9avj1h660h7h1&amp;dl=0","Click to download Image")</f>
      </c>
      <c r="B2808" s="0">
        <f>HYPERLINK("https://dl.dropboxusercontent.com/scl/fi/jwr1sa68g7ftidxe19v87/ladies-a.jpg?rlkey=gx9wiw2dusl9xqoptcrwisemm&amp;dl=0","Click to download SizeChart")</f>
      </c>
      <c r="C2808" s="0" t="inlineStr">
        <is>
          <t>Zaun Women's Pink Rhinestone Fitness Jacket</t>
        </is>
      </c>
      <c r="D2808" s="1">
        <v>91888</v>
      </c>
      <c r="E2808" s="0" t="inlineStr">
        <is>
          <t>ZAUN:91888D-XL</t>
        </is>
      </c>
      <c r="G2808" s="0" t="inlineStr">
        <is>
          <t>WOMENS</t>
        </is>
      </c>
      <c r="H2808" s="0" t="inlineStr">
        <is>
          <t>XL</t>
        </is>
      </c>
      <c r="I2808" s="0">
        <v>59.99</v>
      </c>
      <c r="J2808" s="0">
        <v>40</v>
      </c>
    </row>
    <row r="2809" spans="1:10" customHeight="0">
      <c r="A2809" s="0">
        <f>HYPERLINK("https://dl.dropboxusercontent.com/scl/fi/wovgbmr7mvbxzbyxzwymk/woods.jpg?rlkey=t1woesz4aapn6efj2gi6a1y6r&amp;dl=0","Click to download Image")</f>
      </c>
      <c r="B2809" s="0">
        <f>HYPERLINK("https://dl.dropboxusercontent.com/scl/fi/h252khpykpqxbshhpbd7l/mens-d.jpg?rlkey=6q359mfv5r4vmmznsg3bml2u9&amp;dl=0","Click to download SizeChart")</f>
      </c>
      <c r="C2809" s="0" t="inlineStr">
        <is>
          <t>Woods Men's Farm Strong Camo Hoodie</t>
        </is>
      </c>
      <c r="D2809" s="1">
        <v>95523</v>
      </c>
      <c r="E2809" s="0" t="inlineStr">
        <is>
          <t>WOODS:95523A-S</t>
        </is>
      </c>
      <c r="G2809" s="0" t="inlineStr">
        <is>
          <t>MENS</t>
        </is>
      </c>
      <c r="H2809" s="0" t="inlineStr">
        <is>
          <t>S</t>
        </is>
      </c>
      <c r="I2809" s="0">
        <v>59.99</v>
      </c>
      <c r="J2809" s="0">
        <v>33</v>
      </c>
    </row>
    <row r="2810" spans="1:10" customHeight="0">
      <c r="A2810" s="0">
        <f>HYPERLINK("https://dl.dropboxusercontent.com/scl/fi/wovgbmr7mvbxzbyxzwymk/woods.jpg?rlkey=t1woesz4aapn6efj2gi6a1y6r&amp;dl=0","Click to download Image")</f>
      </c>
      <c r="B2810" s="0">
        <f>HYPERLINK("https://dl.dropboxusercontent.com/scl/fi/h252khpykpqxbshhpbd7l/mens-d.jpg?rlkey=6q359mfv5r4vmmznsg3bml2u9&amp;dl=0","Click to download SizeChart")</f>
      </c>
      <c r="C2810" s="0" t="inlineStr">
        <is>
          <t>Woods Men's Farm Strong Camo Hoodie</t>
        </is>
      </c>
      <c r="D2810" s="1">
        <v>95523</v>
      </c>
      <c r="E2810" s="0" t="inlineStr">
        <is>
          <t>WOODS:95523B-M</t>
        </is>
      </c>
      <c r="G2810" s="0" t="inlineStr">
        <is>
          <t>MENS</t>
        </is>
      </c>
      <c r="H2810" s="0" t="inlineStr">
        <is>
          <t>M</t>
        </is>
      </c>
      <c r="I2810" s="0">
        <v>59.99</v>
      </c>
      <c r="J2810" s="0">
        <v>49</v>
      </c>
    </row>
    <row r="2811" spans="1:10" customHeight="0">
      <c r="A2811" s="0">
        <f>HYPERLINK("https://dl.dropboxusercontent.com/scl/fi/wovgbmr7mvbxzbyxzwymk/woods.jpg?rlkey=t1woesz4aapn6efj2gi6a1y6r&amp;dl=0","Click to download Image")</f>
      </c>
      <c r="B2811" s="0">
        <f>HYPERLINK("https://dl.dropboxusercontent.com/scl/fi/h252khpykpqxbshhpbd7l/mens-d.jpg?rlkey=6q359mfv5r4vmmznsg3bml2u9&amp;dl=0","Click to download SizeChart")</f>
      </c>
      <c r="C2811" s="0" t="inlineStr">
        <is>
          <t>Woods Men's Farm Strong Camo Hoodie</t>
        </is>
      </c>
      <c r="D2811" s="1">
        <v>95523</v>
      </c>
      <c r="E2811" s="0" t="inlineStr">
        <is>
          <t>WOODS:95523C-L</t>
        </is>
      </c>
      <c r="G2811" s="0" t="inlineStr">
        <is>
          <t>MENS</t>
        </is>
      </c>
      <c r="H2811" s="0" t="inlineStr">
        <is>
          <t>L</t>
        </is>
      </c>
      <c r="I2811" s="0">
        <v>59.99</v>
      </c>
      <c r="J2811" s="0">
        <v>8</v>
      </c>
    </row>
    <row r="2812" spans="1:10" customHeight="0">
      <c r="A2812" s="0">
        <f>HYPERLINK("https://dl.dropboxusercontent.com/scl/fi/v0kxx62kimzs9lkjdp5zx/willow.jpg?rlkey=hkgoug9x5ziolnzwnuqjhpd5l&amp;dl=0","Click to download Image")</f>
      </c>
      <c r="B2812" s="0">
        <f>HYPERLINK("https://dl.dropboxusercontent.com/scl/fi/h60lky0whc4g5ruxv83l5/ladies-a.jpg?rlkey=1onm1cez2h3gh6yj88mjjt7uo&amp;dl=0","Click to download SizeChart")</f>
      </c>
      <c r="C2812" s="0" t="inlineStr">
        <is>
          <t>Willow Women's Lace Jersey</t>
        </is>
      </c>
      <c r="D2812" s="1">
        <v>98200</v>
      </c>
      <c r="E2812" s="0" t="inlineStr">
        <is>
          <t>WILLOW:98200A-S</t>
        </is>
      </c>
      <c r="G2812" s="0" t="inlineStr">
        <is>
          <t>WOMENS</t>
        </is>
      </c>
      <c r="H2812" s="0" t="inlineStr">
        <is>
          <t>S</t>
        </is>
      </c>
      <c r="I2812" s="0">
        <v>49.99</v>
      </c>
      <c r="J2812" s="0">
        <v>40</v>
      </c>
    </row>
    <row r="2813" spans="1:10" customHeight="0">
      <c r="A2813" s="0">
        <f>HYPERLINK("https://dl.dropboxusercontent.com/scl/fi/v0kxx62kimzs9lkjdp5zx/willow.jpg?rlkey=hkgoug9x5ziolnzwnuqjhpd5l&amp;dl=0","Click to download Image")</f>
      </c>
      <c r="B2813" s="0">
        <f>HYPERLINK("https://dl.dropboxusercontent.com/scl/fi/h60lky0whc4g5ruxv83l5/ladies-a.jpg?rlkey=1onm1cez2h3gh6yj88mjjt7uo&amp;dl=0","Click to download SizeChart")</f>
      </c>
      <c r="C2813" s="0" t="inlineStr">
        <is>
          <t>Willow Women's Lace Jersey</t>
        </is>
      </c>
      <c r="D2813" s="1">
        <v>98200</v>
      </c>
      <c r="E2813" s="0" t="inlineStr">
        <is>
          <t>WILLOW:98200B-M</t>
        </is>
      </c>
      <c r="G2813" s="0" t="inlineStr">
        <is>
          <t>WOMENS</t>
        </is>
      </c>
      <c r="H2813" s="0" t="inlineStr">
        <is>
          <t>M</t>
        </is>
      </c>
      <c r="I2813" s="0">
        <v>49.99</v>
      </c>
      <c r="J2813" s="0">
        <v>33</v>
      </c>
    </row>
    <row r="2814" spans="1:10" customHeight="0">
      <c r="A2814" s="0">
        <f>HYPERLINK("https://dl.dropboxusercontent.com/scl/fi/v0kxx62kimzs9lkjdp5zx/willow.jpg?rlkey=hkgoug9x5ziolnzwnuqjhpd5l&amp;dl=0","Click to download Image")</f>
      </c>
      <c r="B2814" s="0">
        <f>HYPERLINK("https://dl.dropboxusercontent.com/scl/fi/h60lky0whc4g5ruxv83l5/ladies-a.jpg?rlkey=1onm1cez2h3gh6yj88mjjt7uo&amp;dl=0","Click to download SizeChart")</f>
      </c>
      <c r="C2814" s="0" t="inlineStr">
        <is>
          <t>Willow Women's Lace Jersey</t>
        </is>
      </c>
      <c r="D2814" s="1">
        <v>98200</v>
      </c>
      <c r="E2814" s="0" t="inlineStr">
        <is>
          <t>WILLOW:98200C-L</t>
        </is>
      </c>
      <c r="G2814" s="0" t="inlineStr">
        <is>
          <t>WOMENS</t>
        </is>
      </c>
      <c r="H2814" s="0" t="inlineStr">
        <is>
          <t>L</t>
        </is>
      </c>
      <c r="I2814" s="0">
        <v>49.99</v>
      </c>
      <c r="J2814" s="0">
        <v>26</v>
      </c>
    </row>
    <row r="2815" spans="1:10" customHeight="0">
      <c r="A2815" s="0">
        <f>HYPERLINK("https://dl.dropboxusercontent.com/scl/fi/v0kxx62kimzs9lkjdp5zx/willow.jpg?rlkey=hkgoug9x5ziolnzwnuqjhpd5l&amp;dl=0","Click to download Image")</f>
      </c>
      <c r="B2815" s="0">
        <f>HYPERLINK("https://dl.dropboxusercontent.com/scl/fi/h60lky0whc4g5ruxv83l5/ladies-a.jpg?rlkey=1onm1cez2h3gh6yj88mjjt7uo&amp;dl=0","Click to download SizeChart")</f>
      </c>
      <c r="C2815" s="0" t="inlineStr">
        <is>
          <t>Willow Women's Lace Jersey</t>
        </is>
      </c>
      <c r="D2815" s="1">
        <v>98200</v>
      </c>
      <c r="E2815" s="0" t="inlineStr">
        <is>
          <t>WILLOW:98200D-XL</t>
        </is>
      </c>
      <c r="G2815" s="0" t="inlineStr">
        <is>
          <t>WOMENS</t>
        </is>
      </c>
      <c r="H2815" s="0" t="inlineStr">
        <is>
          <t>XL</t>
        </is>
      </c>
      <c r="I2815" s="0">
        <v>49.99</v>
      </c>
      <c r="J2815" s="0">
        <v>31</v>
      </c>
    </row>
    <row r="2816" spans="1:10" customHeight="0">
      <c r="A2816" s="0">
        <f>HYPERLINK("https://dl.dropboxusercontent.com/scl/fi/v0kxx62kimzs9lkjdp5zx/willow.jpg?rlkey=hkgoug9x5ziolnzwnuqjhpd5l&amp;dl=0","Click to download Image")</f>
      </c>
      <c r="B2816" s="0">
        <f>HYPERLINK("https://dl.dropboxusercontent.com/scl/fi/h60lky0whc4g5ruxv83l5/ladies-a.jpg?rlkey=1onm1cez2h3gh6yj88mjjt7uo&amp;dl=0","Click to download SizeChart")</f>
      </c>
      <c r="C2816" s="0" t="inlineStr">
        <is>
          <t>Willow Women's Lace Jersey</t>
        </is>
      </c>
      <c r="D2816" s="1">
        <v>98200</v>
      </c>
      <c r="E2816" s="0" t="inlineStr">
        <is>
          <t>WILLOW:98200E-2XL</t>
        </is>
      </c>
      <c r="G2816" s="0" t="inlineStr">
        <is>
          <t>WOMENS</t>
        </is>
      </c>
      <c r="H2816" s="0" t="inlineStr">
        <is>
          <t>2XL</t>
        </is>
      </c>
      <c r="I2816" s="0">
        <v>51.99</v>
      </c>
      <c r="J2816" s="0">
        <v>38</v>
      </c>
    </row>
    <row r="2817" spans="1:10" customHeight="0">
      <c r="A2817" s="0">
        <f>HYPERLINK("https://dl.dropboxusercontent.com/scl/fi/v0kxx62kimzs9lkjdp5zx/willow.jpg?rlkey=hkgoug9x5ziolnzwnuqjhpd5l&amp;dl=0","Click to download Image")</f>
      </c>
      <c r="B2817" s="0">
        <f>HYPERLINK("https://dl.dropboxusercontent.com/scl/fi/h60lky0whc4g5ruxv83l5/ladies-a.jpg?rlkey=1onm1cez2h3gh6yj88mjjt7uo&amp;dl=0","Click to download SizeChart")</f>
      </c>
      <c r="C2817" s="0" t="inlineStr">
        <is>
          <t>Willow Women's Lace Jersey</t>
        </is>
      </c>
      <c r="D2817" s="1">
        <v>98200</v>
      </c>
      <c r="E2817" s="0" t="inlineStr">
        <is>
          <t>WILLOW:98200F-3XL</t>
        </is>
      </c>
      <c r="G2817" s="0" t="inlineStr">
        <is>
          <t>WOMENS</t>
        </is>
      </c>
      <c r="H2817" s="0" t="inlineStr">
        <is>
          <t>3XL</t>
        </is>
      </c>
      <c r="I2817" s="0">
        <v>51.99</v>
      </c>
      <c r="J2817" s="0">
        <v>1</v>
      </c>
    </row>
    <row r="2818" spans="1:10" customHeight="0">
      <c r="A2818" s="0">
        <f>HYPERLINK("https://dl.dropboxusercontent.com/scl/fi/ia9h5ldrxle8wbw5wdjv1/103494-f.jpg?rlkey=ryfcjj3nf4304za5tefj5obs7&amp;dl=0","Click to download Image")</f>
      </c>
      <c r="B2818" s="0">
        <f>HYPERLINK("https://dl.dropboxusercontent.com/scl/fi/zqksveyhv76igml1vbv0z/10-18-size-chartsmens-relaxed.jpg?rlkey=3qtyygsn37k5kq3nzgpja6isu&amp;dl=0","Click to download SizeChart")</f>
      </c>
      <c r="C2818" s="0" t="inlineStr">
        <is>
          <t>Westphal Men's 1/4 Zip Pullover</t>
        </is>
      </c>
      <c r="D2818" s="1">
        <v>103494</v>
      </c>
      <c r="E2818" s="0" t="inlineStr">
        <is>
          <t>WESTPHAL:103494A-S</t>
        </is>
      </c>
      <c r="G2818" s="0" t="inlineStr">
        <is>
          <t>MENS</t>
        </is>
      </c>
      <c r="I2818" s="0">
        <v>54.99</v>
      </c>
      <c r="J2818" s="0">
        <v>26</v>
      </c>
    </row>
    <row r="2819" spans="1:10" customHeight="0">
      <c r="A2819" s="0">
        <f>HYPERLINK("https://dl.dropboxusercontent.com/scl/fi/ia9h5ldrxle8wbw5wdjv1/103494-f.jpg?rlkey=ryfcjj3nf4304za5tefj5obs7&amp;dl=0","Click to download Image")</f>
      </c>
      <c r="B2819" s="0">
        <f>HYPERLINK("https://dl.dropboxusercontent.com/scl/fi/zqksveyhv76igml1vbv0z/10-18-size-chartsmens-relaxed.jpg?rlkey=3qtyygsn37k5kq3nzgpja6isu&amp;dl=0","Click to download SizeChart")</f>
      </c>
      <c r="C2819" s="0" t="inlineStr">
        <is>
          <t>Westphal Men's 1/4 Zip Pullover</t>
        </is>
      </c>
      <c r="D2819" s="1">
        <v>103494</v>
      </c>
      <c r="E2819" s="0" t="inlineStr">
        <is>
          <t>WESTPHAL:103494B-M</t>
        </is>
      </c>
      <c r="G2819" s="0" t="inlineStr">
        <is>
          <t>MENS</t>
        </is>
      </c>
      <c r="I2819" s="0">
        <v>54.99</v>
      </c>
      <c r="J2819" s="0">
        <v>28</v>
      </c>
    </row>
    <row r="2820" spans="1:10" customHeight="0">
      <c r="A2820" s="0">
        <f>HYPERLINK("https://dl.dropboxusercontent.com/scl/fi/ia9h5ldrxle8wbw5wdjv1/103494-f.jpg?rlkey=ryfcjj3nf4304za5tefj5obs7&amp;dl=0","Click to download Image")</f>
      </c>
      <c r="B2820" s="0">
        <f>HYPERLINK("https://dl.dropboxusercontent.com/scl/fi/zqksveyhv76igml1vbv0z/10-18-size-chartsmens-relaxed.jpg?rlkey=3qtyygsn37k5kq3nzgpja6isu&amp;dl=0","Click to download SizeChart")</f>
      </c>
      <c r="C2820" s="0" t="inlineStr">
        <is>
          <t>Westphal Men's 1/4 Zip Pullover</t>
        </is>
      </c>
      <c r="D2820" s="1">
        <v>103494</v>
      </c>
      <c r="E2820" s="0" t="inlineStr">
        <is>
          <t>WESTPHAL:103494C-L</t>
        </is>
      </c>
      <c r="G2820" s="0" t="inlineStr">
        <is>
          <t>MENS</t>
        </is>
      </c>
      <c r="I2820" s="0">
        <v>54.99</v>
      </c>
      <c r="J2820" s="0">
        <v>0</v>
      </c>
    </row>
    <row r="2821" spans="1:10" customHeight="0">
      <c r="A2821" s="0">
        <f>HYPERLINK("https://dl.dropboxusercontent.com/scl/fi/ia9h5ldrxle8wbw5wdjv1/103494-f.jpg?rlkey=ryfcjj3nf4304za5tefj5obs7&amp;dl=0","Click to download Image")</f>
      </c>
      <c r="B2821" s="0">
        <f>HYPERLINK("https://dl.dropboxusercontent.com/scl/fi/zqksveyhv76igml1vbv0z/10-18-size-chartsmens-relaxed.jpg?rlkey=3qtyygsn37k5kq3nzgpja6isu&amp;dl=0","Click to download SizeChart")</f>
      </c>
      <c r="C2821" s="0" t="inlineStr">
        <is>
          <t>Westphal Men's 1/4 Zip Pullover</t>
        </is>
      </c>
      <c r="D2821" s="1">
        <v>103494</v>
      </c>
      <c r="E2821" s="0" t="inlineStr">
        <is>
          <t>WESTPHAL:103494D-XL</t>
        </is>
      </c>
      <c r="G2821" s="0" t="inlineStr">
        <is>
          <t>MENS</t>
        </is>
      </c>
      <c r="I2821" s="0">
        <v>54.99</v>
      </c>
      <c r="J2821" s="0">
        <v>0</v>
      </c>
    </row>
    <row r="2822" spans="1:10" customHeight="0">
      <c r="A2822" s="0">
        <f>HYPERLINK("https://dl.dropboxusercontent.com/scl/fi/ia9h5ldrxle8wbw5wdjv1/103494-f.jpg?rlkey=ryfcjj3nf4304za5tefj5obs7&amp;dl=0","Click to download Image")</f>
      </c>
      <c r="B2822" s="0">
        <f>HYPERLINK("https://dl.dropboxusercontent.com/scl/fi/zqksveyhv76igml1vbv0z/10-18-size-chartsmens-relaxed.jpg?rlkey=3qtyygsn37k5kq3nzgpja6isu&amp;dl=0","Click to download SizeChart")</f>
      </c>
      <c r="C2822" s="0" t="inlineStr">
        <is>
          <t>Westphal Men's 1/4 Zip Pullover</t>
        </is>
      </c>
      <c r="D2822" s="1">
        <v>103494</v>
      </c>
      <c r="E2822" s="0" t="inlineStr">
        <is>
          <t>WESTPHAL:103494E-2XL</t>
        </is>
      </c>
      <c r="G2822" s="0" t="inlineStr">
        <is>
          <t>MENS</t>
        </is>
      </c>
      <c r="I2822" s="0">
        <v>54.99</v>
      </c>
      <c r="J2822" s="0">
        <v>2</v>
      </c>
    </row>
    <row r="2823" spans="1:10" customHeight="0">
      <c r="A2823" s="0">
        <f>HYPERLINK("https://dl.dropboxusercontent.com/scl/fi/ia9h5ldrxle8wbw5wdjv1/103494-f.jpg?rlkey=ryfcjj3nf4304za5tefj5obs7&amp;dl=0","Click to download Image")</f>
      </c>
      <c r="B2823" s="0">
        <f>HYPERLINK("https://dl.dropboxusercontent.com/scl/fi/zqksveyhv76igml1vbv0z/10-18-size-chartsmens-relaxed.jpg?rlkey=3qtyygsn37k5kq3nzgpja6isu&amp;dl=0","Click to download SizeChart")</f>
      </c>
      <c r="C2823" s="0" t="inlineStr">
        <is>
          <t>Westphal Men's 1/4 Zip Pullover</t>
        </is>
      </c>
      <c r="D2823" s="1">
        <v>103494</v>
      </c>
      <c r="E2823" s="0" t="inlineStr">
        <is>
          <t>WESTPHAL:103494F-3XL</t>
        </is>
      </c>
      <c r="G2823" s="0" t="inlineStr">
        <is>
          <t>MENS</t>
        </is>
      </c>
      <c r="I2823" s="0">
        <v>54.99</v>
      </c>
      <c r="J2823" s="0">
        <v>19</v>
      </c>
    </row>
    <row r="2824" spans="1:10" customHeight="0">
      <c r="A2824" s="0">
        <f>HYPERLINK("https://dl.dropboxusercontent.com/scl/fi/r4zbyt8fhhbz97lzgdcob/99637af50137.jpg?rlkey=1co1jsoza4j0khmfuvj88cbtr&amp;dl=0","Click to download Image")</f>
      </c>
      <c r="C2824" s="0" t="inlineStr">
        <is>
          <t>Wes Men's Athletic Shorts</t>
        </is>
      </c>
      <c r="D2824" s="1">
        <v>99637</v>
      </c>
      <c r="E2824" s="0" t="inlineStr">
        <is>
          <t>WES:99637E-2XL</t>
        </is>
      </c>
      <c r="G2824" s="0" t="inlineStr">
        <is>
          <t>MENS</t>
        </is>
      </c>
      <c r="H2824" s="0" t="inlineStr">
        <is>
          <t>2XL</t>
        </is>
      </c>
      <c r="I2824" s="0">
        <v>39.99</v>
      </c>
      <c r="J2824" s="0">
        <v>26</v>
      </c>
    </row>
    <row r="2825" spans="1:10" customHeight="0">
      <c r="A2825" s="0">
        <f>HYPERLINK("https://dl.dropboxusercontent.com/scl/fi/r4zbyt8fhhbz97lzgdcob/99637af50137.jpg?rlkey=1co1jsoza4j0khmfuvj88cbtr&amp;dl=0","Click to download Image")</f>
      </c>
      <c r="C2825" s="0" t="inlineStr">
        <is>
          <t>Wes Men's Athletic Shorts</t>
        </is>
      </c>
      <c r="D2825" s="1">
        <v>99637</v>
      </c>
      <c r="E2825" s="0" t="inlineStr">
        <is>
          <t>WES:99637F-3XL</t>
        </is>
      </c>
      <c r="G2825" s="0" t="inlineStr">
        <is>
          <t>MENS</t>
        </is>
      </c>
      <c r="H2825" s="0" t="inlineStr">
        <is>
          <t>3XL</t>
        </is>
      </c>
      <c r="I2825" s="0">
        <v>39.99</v>
      </c>
      <c r="J2825" s="0">
        <v>2</v>
      </c>
    </row>
    <row r="2826" spans="1:10" customHeight="0">
      <c r="A2826" s="0">
        <f>HYPERLINK("https://dl.dropboxusercontent.com/scl/fi/6ga5jnrcl0nacgsy980ym/wallace-01.jpg?rlkey=oebirv7npqimbuh2gz7w744z0&amp;dl=0","Click to download Image")</f>
      </c>
      <c r="B2826" s="0">
        <f>HYPERLINK("https://dl.dropboxusercontent.com/scl/fi/oios4sx4vbwogyd1s4zbe/mens-polo-size-chartswallace.jpg?rlkey=tg4r08mpevv02nz4fori2aww3&amp;dl=0","Click to download SizeChart")</f>
      </c>
      <c r="C2826" s="0" t="inlineStr">
        <is>
          <t>Wallace Men's Performance Polo</t>
        </is>
      </c>
      <c r="D2826" s="1">
        <v>99644</v>
      </c>
      <c r="E2826" s="0" t="inlineStr">
        <is>
          <t>WALLACE:99644A-S</t>
        </is>
      </c>
      <c r="G2826" s="0" t="inlineStr">
        <is>
          <t>MENS</t>
        </is>
      </c>
      <c r="H2826" s="0" t="inlineStr">
        <is>
          <t>S</t>
        </is>
      </c>
      <c r="I2826" s="0">
        <v>44.99</v>
      </c>
      <c r="J2826" s="0">
        <v>124</v>
      </c>
    </row>
    <row r="2827" spans="1:10" customHeight="0">
      <c r="A2827" s="0">
        <f>HYPERLINK("https://dl.dropboxusercontent.com/scl/fi/6ga5jnrcl0nacgsy980ym/wallace-01.jpg?rlkey=oebirv7npqimbuh2gz7w744z0&amp;dl=0","Click to download Image")</f>
      </c>
      <c r="B2827" s="0">
        <f>HYPERLINK("https://dl.dropboxusercontent.com/scl/fi/oios4sx4vbwogyd1s4zbe/mens-polo-size-chartswallace.jpg?rlkey=tg4r08mpevv02nz4fori2aww3&amp;dl=0","Click to download SizeChart")</f>
      </c>
      <c r="C2827" s="0" t="inlineStr">
        <is>
          <t>Wallace Men's Performance Polo</t>
        </is>
      </c>
      <c r="D2827" s="1">
        <v>99644</v>
      </c>
      <c r="E2827" s="0" t="inlineStr">
        <is>
          <t>WALLACE:99644B-M</t>
        </is>
      </c>
      <c r="G2827" s="0" t="inlineStr">
        <is>
          <t>MENS</t>
        </is>
      </c>
      <c r="H2827" s="0" t="inlineStr">
        <is>
          <t>M</t>
        </is>
      </c>
      <c r="I2827" s="0">
        <v>44.99</v>
      </c>
      <c r="J2827" s="0">
        <v>131</v>
      </c>
    </row>
    <row r="2828" spans="1:10" customHeight="0">
      <c r="A2828" s="0">
        <f>HYPERLINK("https://dl.dropboxusercontent.com/scl/fi/6ga5jnrcl0nacgsy980ym/wallace-01.jpg?rlkey=oebirv7npqimbuh2gz7w744z0&amp;dl=0","Click to download Image")</f>
      </c>
      <c r="B2828" s="0">
        <f>HYPERLINK("https://dl.dropboxusercontent.com/scl/fi/oios4sx4vbwogyd1s4zbe/mens-polo-size-chartswallace.jpg?rlkey=tg4r08mpevv02nz4fori2aww3&amp;dl=0","Click to download SizeChart")</f>
      </c>
      <c r="C2828" s="0" t="inlineStr">
        <is>
          <t>Wallace Men's Performance Polo</t>
        </is>
      </c>
      <c r="D2828" s="1">
        <v>99644</v>
      </c>
      <c r="E2828" s="0" t="inlineStr">
        <is>
          <t>WALLACE:99644C-L</t>
        </is>
      </c>
      <c r="G2828" s="0" t="inlineStr">
        <is>
          <t>MENS</t>
        </is>
      </c>
      <c r="H2828" s="0" t="inlineStr">
        <is>
          <t>L</t>
        </is>
      </c>
      <c r="I2828" s="0">
        <v>44.99</v>
      </c>
      <c r="J2828" s="0">
        <v>108</v>
      </c>
    </row>
    <row r="2829" spans="1:10" customHeight="0">
      <c r="A2829" s="0">
        <f>HYPERLINK("https://dl.dropboxusercontent.com/scl/fi/6ga5jnrcl0nacgsy980ym/wallace-01.jpg?rlkey=oebirv7npqimbuh2gz7w744z0&amp;dl=0","Click to download Image")</f>
      </c>
      <c r="B2829" s="0">
        <f>HYPERLINK("https://dl.dropboxusercontent.com/scl/fi/oios4sx4vbwogyd1s4zbe/mens-polo-size-chartswallace.jpg?rlkey=tg4r08mpevv02nz4fori2aww3&amp;dl=0","Click to download SizeChart")</f>
      </c>
      <c r="C2829" s="0" t="inlineStr">
        <is>
          <t>Wallace Men's Performance Polo</t>
        </is>
      </c>
      <c r="D2829" s="1">
        <v>99644</v>
      </c>
      <c r="E2829" s="0" t="inlineStr">
        <is>
          <t>WALLACE:99644D-XL</t>
        </is>
      </c>
      <c r="G2829" s="0" t="inlineStr">
        <is>
          <t>MENS</t>
        </is>
      </c>
      <c r="H2829" s="0" t="inlineStr">
        <is>
          <t>XL</t>
        </is>
      </c>
      <c r="I2829" s="0">
        <v>44.99</v>
      </c>
      <c r="J2829" s="0">
        <v>87</v>
      </c>
    </row>
    <row r="2830" spans="1:10" customHeight="0">
      <c r="A2830" s="0">
        <f>HYPERLINK("https://dl.dropboxusercontent.com/scl/fi/6ga5jnrcl0nacgsy980ym/wallace-01.jpg?rlkey=oebirv7npqimbuh2gz7w744z0&amp;dl=0","Click to download Image")</f>
      </c>
      <c r="B2830" s="0">
        <f>HYPERLINK("https://dl.dropboxusercontent.com/scl/fi/oios4sx4vbwogyd1s4zbe/mens-polo-size-chartswallace.jpg?rlkey=tg4r08mpevv02nz4fori2aww3&amp;dl=0","Click to download SizeChart")</f>
      </c>
      <c r="C2830" s="0" t="inlineStr">
        <is>
          <t>Wallace Men's Performance Polo</t>
        </is>
      </c>
      <c r="D2830" s="1">
        <v>99644</v>
      </c>
      <c r="E2830" s="0" t="inlineStr">
        <is>
          <t>IA WALLACE:99644-DT - XL TALL</t>
        </is>
      </c>
      <c r="G2830" s="0" t="inlineStr">
        <is>
          <t>MENS</t>
        </is>
      </c>
      <c r="H2830" s="0" t="inlineStr">
        <is>
          <t>XL TALL</t>
        </is>
      </c>
      <c r="I2830" s="0">
        <v>44.99</v>
      </c>
      <c r="J2830" s="0">
        <v>0</v>
      </c>
    </row>
    <row r="2831" spans="1:10" customHeight="0">
      <c r="A2831" s="0">
        <f>HYPERLINK("https://dl.dropboxusercontent.com/scl/fi/6ga5jnrcl0nacgsy980ym/wallace-01.jpg?rlkey=oebirv7npqimbuh2gz7w744z0&amp;dl=0","Click to download Image")</f>
      </c>
      <c r="B2831" s="0">
        <f>HYPERLINK("https://dl.dropboxusercontent.com/scl/fi/oios4sx4vbwogyd1s4zbe/mens-polo-size-chartswallace.jpg?rlkey=tg4r08mpevv02nz4fori2aww3&amp;dl=0","Click to download SizeChart")</f>
      </c>
      <c r="C2831" s="0" t="inlineStr">
        <is>
          <t>Wallace Men's Performance Polo</t>
        </is>
      </c>
      <c r="D2831" s="1">
        <v>99644</v>
      </c>
      <c r="E2831" s="0" t="inlineStr">
        <is>
          <t>WALLACE:99644E-2XL</t>
        </is>
      </c>
      <c r="G2831" s="0" t="inlineStr">
        <is>
          <t>MENS</t>
        </is>
      </c>
      <c r="H2831" s="0" t="inlineStr">
        <is>
          <t>2XL</t>
        </is>
      </c>
      <c r="I2831" s="0">
        <v>44.99</v>
      </c>
      <c r="J2831" s="0">
        <v>82</v>
      </c>
    </row>
    <row r="2832" spans="1:10" customHeight="0">
      <c r="A2832" s="0">
        <f>HYPERLINK("https://dl.dropboxusercontent.com/scl/fi/6ga5jnrcl0nacgsy980ym/wallace-01.jpg?rlkey=oebirv7npqimbuh2gz7w744z0&amp;dl=0","Click to download Image")</f>
      </c>
      <c r="B2832" s="0">
        <f>HYPERLINK("https://dl.dropboxusercontent.com/scl/fi/oios4sx4vbwogyd1s4zbe/mens-polo-size-chartswallace.jpg?rlkey=tg4r08mpevv02nz4fori2aww3&amp;dl=0","Click to download SizeChart")</f>
      </c>
      <c r="C2832" s="0" t="inlineStr">
        <is>
          <t>Wallace Men's Performance Polo</t>
        </is>
      </c>
      <c r="D2832" s="1">
        <v>99644</v>
      </c>
      <c r="E2832" s="0" t="inlineStr">
        <is>
          <t>IA WALLACE:99644-ET - 2XL TALL</t>
        </is>
      </c>
      <c r="G2832" s="0" t="inlineStr">
        <is>
          <t>MENS</t>
        </is>
      </c>
      <c r="H2832" s="0" t="inlineStr">
        <is>
          <t>2XL TALL</t>
        </is>
      </c>
      <c r="I2832" s="0">
        <v>44.99</v>
      </c>
      <c r="J2832" s="0">
        <v>1</v>
      </c>
    </row>
    <row r="2833" spans="1:10" customHeight="0">
      <c r="A2833" s="0">
        <f>HYPERLINK("https://dl.dropboxusercontent.com/scl/fi/6ga5jnrcl0nacgsy980ym/wallace-01.jpg?rlkey=oebirv7npqimbuh2gz7w744z0&amp;dl=0","Click to download Image")</f>
      </c>
      <c r="B2833" s="0">
        <f>HYPERLINK("https://dl.dropboxusercontent.com/scl/fi/oios4sx4vbwogyd1s4zbe/mens-polo-size-chartswallace.jpg?rlkey=tg4r08mpevv02nz4fori2aww3&amp;dl=0","Click to download SizeChart")</f>
      </c>
      <c r="C2833" s="0" t="inlineStr">
        <is>
          <t>Wallace Men's Performance Polo</t>
        </is>
      </c>
      <c r="D2833" s="1">
        <v>99644</v>
      </c>
      <c r="E2833" s="0" t="inlineStr">
        <is>
          <t>IA WALLACE:99644-EB - 2XL BIG</t>
        </is>
      </c>
      <c r="G2833" s="0" t="inlineStr">
        <is>
          <t>MENS</t>
        </is>
      </c>
      <c r="H2833" s="0" t="inlineStr">
        <is>
          <t>2XL BIG</t>
        </is>
      </c>
      <c r="I2833" s="0">
        <v>44.99</v>
      </c>
      <c r="J2833" s="0">
        <v>2</v>
      </c>
    </row>
    <row r="2834" spans="1:10" customHeight="0">
      <c r="A2834" s="0">
        <f>HYPERLINK("https://dl.dropboxusercontent.com/scl/fi/6ga5jnrcl0nacgsy980ym/wallace-01.jpg?rlkey=oebirv7npqimbuh2gz7w744z0&amp;dl=0","Click to download Image")</f>
      </c>
      <c r="B2834" s="0">
        <f>HYPERLINK("https://dl.dropboxusercontent.com/scl/fi/oios4sx4vbwogyd1s4zbe/mens-polo-size-chartswallace.jpg?rlkey=tg4r08mpevv02nz4fori2aww3&amp;dl=0","Click to download SizeChart")</f>
      </c>
      <c r="C2834" s="0" t="inlineStr">
        <is>
          <t>Wallace Men's Performance Polo</t>
        </is>
      </c>
      <c r="D2834" s="1">
        <v>99644</v>
      </c>
      <c r="E2834" s="0" t="inlineStr">
        <is>
          <t>WALLACE:99644F-3XL</t>
        </is>
      </c>
      <c r="G2834" s="0" t="inlineStr">
        <is>
          <t>MENS</t>
        </is>
      </c>
      <c r="H2834" s="0" t="inlineStr">
        <is>
          <t>3XL</t>
        </is>
      </c>
      <c r="I2834" s="0">
        <v>44.99</v>
      </c>
      <c r="J2834" s="0">
        <v>45</v>
      </c>
    </row>
    <row r="2835" spans="1:10" customHeight="0">
      <c r="A2835" s="0">
        <f>HYPERLINK("https://dl.dropboxusercontent.com/scl/fi/6ga5jnrcl0nacgsy980ym/wallace-01.jpg?rlkey=oebirv7npqimbuh2gz7w744z0&amp;dl=0","Click to download Image")</f>
      </c>
      <c r="B2835" s="0">
        <f>HYPERLINK("https://dl.dropboxusercontent.com/scl/fi/oios4sx4vbwogyd1s4zbe/mens-polo-size-chartswallace.jpg?rlkey=tg4r08mpevv02nz4fori2aww3&amp;dl=0","Click to download SizeChart")</f>
      </c>
      <c r="C2835" s="0" t="inlineStr">
        <is>
          <t>Wallace Men's Performance Polo</t>
        </is>
      </c>
      <c r="D2835" s="1">
        <v>99644</v>
      </c>
      <c r="E2835" s="0" t="inlineStr">
        <is>
          <t>IA WALLACE:99644-FT - 3XL TALL</t>
        </is>
      </c>
      <c r="G2835" s="0" t="inlineStr">
        <is>
          <t>MENS</t>
        </is>
      </c>
      <c r="H2835" s="0" t="inlineStr">
        <is>
          <t>3XL TALL</t>
        </is>
      </c>
      <c r="I2835" s="0">
        <v>44.99</v>
      </c>
      <c r="J2835" s="0">
        <v>4</v>
      </c>
    </row>
    <row r="2836" spans="1:10" customHeight="0">
      <c r="A2836" s="0">
        <f>HYPERLINK("https://dl.dropboxusercontent.com/scl/fi/6ga5jnrcl0nacgsy980ym/wallace-01.jpg?rlkey=oebirv7npqimbuh2gz7w744z0&amp;dl=0","Click to download Image")</f>
      </c>
      <c r="B2836" s="0">
        <f>HYPERLINK("https://dl.dropboxusercontent.com/scl/fi/oios4sx4vbwogyd1s4zbe/mens-polo-size-chartswallace.jpg?rlkey=tg4r08mpevv02nz4fori2aww3&amp;dl=0","Click to download SizeChart")</f>
      </c>
      <c r="C2836" s="0" t="inlineStr">
        <is>
          <t>Wallace Men's Performance Polo</t>
        </is>
      </c>
      <c r="D2836" s="1">
        <v>99644</v>
      </c>
      <c r="E2836" s="0" t="inlineStr">
        <is>
          <t>IA WALLACE:99644-FB - 3XL BIG</t>
        </is>
      </c>
      <c r="G2836" s="0" t="inlineStr">
        <is>
          <t>MENS</t>
        </is>
      </c>
      <c r="H2836" s="0" t="inlineStr">
        <is>
          <t>3XL BIG</t>
        </is>
      </c>
      <c r="I2836" s="0">
        <v>44.99</v>
      </c>
      <c r="J2836" s="0">
        <v>6</v>
      </c>
    </row>
    <row r="2837" spans="1:10" customHeight="0">
      <c r="A2837" s="0">
        <f>HYPERLINK("https://dl.dropboxusercontent.com/scl/fi/6ga5jnrcl0nacgsy980ym/wallace-01.jpg?rlkey=oebirv7npqimbuh2gz7w744z0&amp;dl=0","Click to download Image")</f>
      </c>
      <c r="B2837" s="0">
        <f>HYPERLINK("https://dl.dropboxusercontent.com/scl/fi/oios4sx4vbwogyd1s4zbe/mens-polo-size-chartswallace.jpg?rlkey=tg4r08mpevv02nz4fori2aww3&amp;dl=0","Click to download SizeChart")</f>
      </c>
      <c r="C2837" s="0" t="inlineStr">
        <is>
          <t>Wallace Men's Performance Polo</t>
        </is>
      </c>
      <c r="D2837" s="1">
        <v>99644</v>
      </c>
      <c r="E2837" s="0" t="inlineStr">
        <is>
          <t>IA WALLACE:99644-GT - 4XL TALL</t>
        </is>
      </c>
      <c r="G2837" s="0" t="inlineStr">
        <is>
          <t>MENS</t>
        </is>
      </c>
      <c r="H2837" s="0" t="inlineStr">
        <is>
          <t>4XL TALL</t>
        </is>
      </c>
      <c r="I2837" s="0">
        <v>44.99</v>
      </c>
      <c r="J2837" s="0">
        <v>6</v>
      </c>
    </row>
    <row r="2838" spans="1:10" customHeight="0">
      <c r="A2838" s="0">
        <f>HYPERLINK("https://dl.dropboxusercontent.com/scl/fi/6ga5jnrcl0nacgsy980ym/wallace-01.jpg?rlkey=oebirv7npqimbuh2gz7w744z0&amp;dl=0","Click to download Image")</f>
      </c>
      <c r="B2838" s="0">
        <f>HYPERLINK("https://dl.dropboxusercontent.com/scl/fi/oios4sx4vbwogyd1s4zbe/mens-polo-size-chartswallace.jpg?rlkey=tg4r08mpevv02nz4fori2aww3&amp;dl=0","Click to download SizeChart")</f>
      </c>
      <c r="C2838" s="0" t="inlineStr">
        <is>
          <t>Wallace Men's Performance Polo</t>
        </is>
      </c>
      <c r="D2838" s="1">
        <v>99644</v>
      </c>
      <c r="E2838" s="0" t="inlineStr">
        <is>
          <t>IA WALLACE:99644-GB - 4XL BIG</t>
        </is>
      </c>
      <c r="G2838" s="0" t="inlineStr">
        <is>
          <t>MENS</t>
        </is>
      </c>
      <c r="H2838" s="0" t="inlineStr">
        <is>
          <t>4XL BIG</t>
        </is>
      </c>
      <c r="I2838" s="0">
        <v>44.99</v>
      </c>
      <c r="J2838" s="0">
        <v>5</v>
      </c>
    </row>
    <row r="2839" spans="1:10" customHeight="0">
      <c r="A2839" s="0">
        <f>HYPERLINK("https://dl.dropboxusercontent.com/scl/fi/6ga5jnrcl0nacgsy980ym/wallace-01.jpg?rlkey=oebirv7npqimbuh2gz7w744z0&amp;dl=0","Click to download Image")</f>
      </c>
      <c r="B2839" s="0">
        <f>HYPERLINK("https://dl.dropboxusercontent.com/scl/fi/oios4sx4vbwogyd1s4zbe/mens-polo-size-chartswallace.jpg?rlkey=tg4r08mpevv02nz4fori2aww3&amp;dl=0","Click to download SizeChart")</f>
      </c>
      <c r="C2839" s="0" t="inlineStr">
        <is>
          <t>Wallace Men's Performance Polo</t>
        </is>
      </c>
      <c r="D2839" s="1">
        <v>99644</v>
      </c>
      <c r="E2839" s="0" t="inlineStr">
        <is>
          <t>IA WALLACE:99644-HT - 5XL TALL</t>
        </is>
      </c>
      <c r="G2839" s="0" t="inlineStr">
        <is>
          <t>MENS</t>
        </is>
      </c>
      <c r="H2839" s="0" t="inlineStr">
        <is>
          <t>5XL TALL</t>
        </is>
      </c>
      <c r="I2839" s="0">
        <v>44.99</v>
      </c>
      <c r="J2839" s="0">
        <v>6</v>
      </c>
    </row>
    <row r="2840" spans="1:10" customHeight="0">
      <c r="A2840" s="0">
        <f>HYPERLINK("https://dl.dropboxusercontent.com/scl/fi/6ga5jnrcl0nacgsy980ym/wallace-01.jpg?rlkey=oebirv7npqimbuh2gz7w744z0&amp;dl=0","Click to download Image")</f>
      </c>
      <c r="B2840" s="0">
        <f>HYPERLINK("https://dl.dropboxusercontent.com/scl/fi/oios4sx4vbwogyd1s4zbe/mens-polo-size-chartswallace.jpg?rlkey=tg4r08mpevv02nz4fori2aww3&amp;dl=0","Click to download SizeChart")</f>
      </c>
      <c r="C2840" s="0" t="inlineStr">
        <is>
          <t>Wallace Men's Performance Polo</t>
        </is>
      </c>
      <c r="D2840" s="1">
        <v>99644</v>
      </c>
      <c r="E2840" s="0" t="inlineStr">
        <is>
          <t>IA WALLACE:99644-HB - 5XL BIG</t>
        </is>
      </c>
      <c r="G2840" s="0" t="inlineStr">
        <is>
          <t>MENS</t>
        </is>
      </c>
      <c r="H2840" s="0" t="inlineStr">
        <is>
          <t>5XL BIG</t>
        </is>
      </c>
      <c r="I2840" s="0">
        <v>44.99</v>
      </c>
      <c r="J2840" s="0">
        <v>5</v>
      </c>
    </row>
    <row r="2841" spans="1:10" customHeight="0">
      <c r="A2841" s="0">
        <f>HYPERLINK("https://dl.dropboxusercontent.com/scl/fi/lbvp2hzfnpzsh59w480oc/vivian.jpg?rlkey=usacsr1ihpki1qqu2q4qv5t8q&amp;dl=0","Click to download Image")</f>
      </c>
      <c r="B2841" s="0">
        <f>HYPERLINK("https://dl.dropboxusercontent.com/scl/fi/dy4ujq432zac7s1p9o3kq/size-chartladies-c.jpg?rlkey=fhym4oszofpsjo9dw2pj40ztk&amp;dl=0","Click to download SizeChart")</f>
      </c>
      <c r="C2841" s="0" t="inlineStr">
        <is>
          <t>Vivian Women's Zip Hoodie</t>
        </is>
      </c>
      <c r="D2841" s="1">
        <v>95724</v>
      </c>
      <c r="E2841" s="0" t="inlineStr">
        <is>
          <t>VIVIAN:95724A-S</t>
        </is>
      </c>
      <c r="G2841" s="0" t="inlineStr">
        <is>
          <t>WOMENS</t>
        </is>
      </c>
      <c r="H2841" s="0" t="inlineStr">
        <is>
          <t>S</t>
        </is>
      </c>
      <c r="I2841" s="0">
        <v>69.99</v>
      </c>
      <c r="J2841" s="0">
        <v>31</v>
      </c>
    </row>
    <row r="2842" spans="1:10" customHeight="0">
      <c r="A2842" s="0">
        <f>HYPERLINK("https://dl.dropboxusercontent.com/scl/fi/lbvp2hzfnpzsh59w480oc/vivian.jpg?rlkey=usacsr1ihpki1qqu2q4qv5t8q&amp;dl=0","Click to download Image")</f>
      </c>
      <c r="B2842" s="0">
        <f>HYPERLINK("https://dl.dropboxusercontent.com/scl/fi/dy4ujq432zac7s1p9o3kq/size-chartladies-c.jpg?rlkey=fhym4oszofpsjo9dw2pj40ztk&amp;dl=0","Click to download SizeChart")</f>
      </c>
      <c r="C2842" s="0" t="inlineStr">
        <is>
          <t>Vivian Women's Zip Hoodie</t>
        </is>
      </c>
      <c r="D2842" s="1">
        <v>95724</v>
      </c>
      <c r="E2842" s="0" t="inlineStr">
        <is>
          <t>VIVIAN:95724B-M</t>
        </is>
      </c>
      <c r="G2842" s="0" t="inlineStr">
        <is>
          <t>WOMENS</t>
        </is>
      </c>
      <c r="H2842" s="0" t="inlineStr">
        <is>
          <t>M</t>
        </is>
      </c>
      <c r="I2842" s="0">
        <v>69.99</v>
      </c>
      <c r="J2842" s="0">
        <v>44</v>
      </c>
    </row>
    <row r="2843" spans="1:10" customHeight="0">
      <c r="A2843" s="0">
        <f>HYPERLINK("https://dl.dropboxusercontent.com/scl/fi/lbvp2hzfnpzsh59w480oc/vivian.jpg?rlkey=usacsr1ihpki1qqu2q4qv5t8q&amp;dl=0","Click to download Image")</f>
      </c>
      <c r="B2843" s="0">
        <f>HYPERLINK("https://dl.dropboxusercontent.com/scl/fi/dy4ujq432zac7s1p9o3kq/size-chartladies-c.jpg?rlkey=fhym4oszofpsjo9dw2pj40ztk&amp;dl=0","Click to download SizeChart")</f>
      </c>
      <c r="C2843" s="0" t="inlineStr">
        <is>
          <t>Vivian Women's Zip Hoodie</t>
        </is>
      </c>
      <c r="D2843" s="1">
        <v>95724</v>
      </c>
      <c r="E2843" s="0" t="inlineStr">
        <is>
          <t>VIVIAN:95724C-L</t>
        </is>
      </c>
      <c r="G2843" s="0" t="inlineStr">
        <is>
          <t>WOMENS</t>
        </is>
      </c>
      <c r="H2843" s="0" t="inlineStr">
        <is>
          <t>L</t>
        </is>
      </c>
      <c r="I2843" s="0">
        <v>69.99</v>
      </c>
      <c r="J2843" s="0">
        <v>105</v>
      </c>
    </row>
    <row r="2844" spans="1:10" customHeight="0">
      <c r="A2844" s="0">
        <f>HYPERLINK("https://dl.dropboxusercontent.com/scl/fi/lbvp2hzfnpzsh59w480oc/vivian.jpg?rlkey=usacsr1ihpki1qqu2q4qv5t8q&amp;dl=0","Click to download Image")</f>
      </c>
      <c r="B2844" s="0">
        <f>HYPERLINK("https://dl.dropboxusercontent.com/scl/fi/dy4ujq432zac7s1p9o3kq/size-chartladies-c.jpg?rlkey=fhym4oszofpsjo9dw2pj40ztk&amp;dl=0","Click to download SizeChart")</f>
      </c>
      <c r="C2844" s="0" t="inlineStr">
        <is>
          <t>Vivian Women's Zip Hoodie</t>
        </is>
      </c>
      <c r="D2844" s="1">
        <v>95724</v>
      </c>
      <c r="E2844" s="0" t="inlineStr">
        <is>
          <t>VIVIAN:95724D-XL</t>
        </is>
      </c>
      <c r="G2844" s="0" t="inlineStr">
        <is>
          <t>WOMENS</t>
        </is>
      </c>
      <c r="H2844" s="0" t="inlineStr">
        <is>
          <t>XL</t>
        </is>
      </c>
      <c r="I2844" s="0">
        <v>69.99</v>
      </c>
      <c r="J2844" s="0">
        <v>111</v>
      </c>
    </row>
    <row r="2845" spans="1:10" customHeight="0">
      <c r="A2845" s="0">
        <f>HYPERLINK("https://dl.dropboxusercontent.com/scl/fi/lbvp2hzfnpzsh59w480oc/vivian.jpg?rlkey=usacsr1ihpki1qqu2q4qv5t8q&amp;dl=0","Click to download Image")</f>
      </c>
      <c r="B2845" s="0">
        <f>HYPERLINK("https://dl.dropboxusercontent.com/scl/fi/dy4ujq432zac7s1p9o3kq/size-chartladies-c.jpg?rlkey=fhym4oszofpsjo9dw2pj40ztk&amp;dl=0","Click to download SizeChart")</f>
      </c>
      <c r="C2845" s="0" t="inlineStr">
        <is>
          <t>Vivian Women's Zip Hoodie</t>
        </is>
      </c>
      <c r="D2845" s="1">
        <v>95724</v>
      </c>
      <c r="E2845" s="0" t="inlineStr">
        <is>
          <t>VIVIAN:95724E-2XL</t>
        </is>
      </c>
      <c r="G2845" s="0" t="inlineStr">
        <is>
          <t>WOMENS</t>
        </is>
      </c>
      <c r="H2845" s="0" t="inlineStr">
        <is>
          <t>2XL</t>
        </is>
      </c>
      <c r="I2845" s="0">
        <v>71.99</v>
      </c>
      <c r="J2845" s="0">
        <v>28</v>
      </c>
    </row>
    <row r="2846" spans="1:10" customHeight="0">
      <c r="A2846" s="0">
        <f>HYPERLINK("https://dl.dropboxusercontent.com/scl/fi/qois4ir2d60b40unylj1f/venice.jpg?rlkey=ps6x2hvjobrvdvdgi0ekz34gf&amp;dl=0","Click to download Image")</f>
      </c>
      <c r="C2846" s="0" t="inlineStr">
        <is>
          <t>Venice Youth Floral Cap</t>
        </is>
      </c>
      <c r="D2846" s="1">
        <v>107223</v>
      </c>
      <c r="E2846" s="0" t="inlineStr">
        <is>
          <t>IA VENICE:107223</t>
        </is>
      </c>
      <c r="G2846" s="0" t="inlineStr">
        <is>
          <t>YOUTH</t>
        </is>
      </c>
      <c r="H2846" s="0" t="inlineStr">
        <is>
          <t>YOUTH</t>
        </is>
      </c>
      <c r="I2846" s="0">
        <v>20.99</v>
      </c>
      <c r="J2846" s="0">
        <v>60</v>
      </c>
    </row>
    <row r="2847" spans="1:10" customHeight="0">
      <c r="A2847" s="0">
        <f>HYPERLINK("https://dl.dropboxusercontent.com/scl/fi/jbktcae7djvzy13npno4f/valerie.jpg?rlkey=5d78o2glpvsdpia4iun9aq3of&amp;dl=0","Click to download Image")</f>
      </c>
      <c r="C2847" s="0" t="inlineStr">
        <is>
          <t>Valerie Youth Lace Cap</t>
        </is>
      </c>
      <c r="D2847" s="1">
        <v>98626</v>
      </c>
      <c r="E2847" s="0" t="inlineStr">
        <is>
          <t>VALERIE:98626</t>
        </is>
      </c>
      <c r="G2847" s="0" t="inlineStr">
        <is>
          <t>YOUTH</t>
        </is>
      </c>
      <c r="H2847" s="0" t="inlineStr">
        <is>
          <t>YOUTH</t>
        </is>
      </c>
      <c r="I2847" s="0">
        <v>24.99</v>
      </c>
      <c r="J2847" s="0">
        <v>115</v>
      </c>
    </row>
    <row r="2848" spans="1:10" customHeight="0">
      <c r="A2848" s="0">
        <f>HYPERLINK("https://dl.dropboxusercontent.com/scl/fi/dwibksgybwr24uw3g78mh/valerie.jpg?rlkey=z06tsrckpb907xc5jh1jnozdj&amp;dl=0","Click to download Image")</f>
      </c>
      <c r="C2848" s="0" t="inlineStr">
        <is>
          <t>Valerie Toddler Lace Cap</t>
        </is>
      </c>
      <c r="D2848" s="1">
        <v>98908</v>
      </c>
      <c r="E2848" s="0" t="inlineStr">
        <is>
          <t>VALERIE:98908</t>
        </is>
      </c>
      <c r="G2848" s="0" t="inlineStr">
        <is>
          <t>TODDLER</t>
        </is>
      </c>
      <c r="H2848" s="0" t="inlineStr">
        <is>
          <t>TODDLER</t>
        </is>
      </c>
      <c r="I2848" s="0">
        <v>24.99</v>
      </c>
      <c r="J2848" s="0">
        <v>24</v>
      </c>
    </row>
    <row r="2849" spans="1:10" customHeight="0">
      <c r="A2849" s="0">
        <f>HYPERLINK("https://dl.dropboxusercontent.com/scl/fi/1y3ckgtxabozcwqwnkg5s/91910-af.jpg?rlkey=8m07x64g5ba6ljcadl6tdgprn&amp;dl=0","Click to download Image")</f>
      </c>
      <c r="C2849" s="0" t="inlineStr">
        <is>
          <t>Fleece Drawstring Bag</t>
        </is>
      </c>
      <c r="D2849" s="1">
        <v>91910</v>
      </c>
      <c r="E2849" s="0" t="inlineStr">
        <is>
          <t>BE BOLD:91910-STRNG</t>
        </is>
      </c>
      <c r="H2849" s="0" t="inlineStr">
        <is>
          <t>OS</t>
        </is>
      </c>
      <c r="I2849" s="0">
        <v>29.99</v>
      </c>
      <c r="J2849" s="0">
        <v>340</v>
      </c>
    </row>
    <row r="2850" spans="1:10" customHeight="0">
      <c r="A2850" s="0">
        <f>HYPERLINK("https://dl.dropboxusercontent.com/scl/fi/5ixyt2el0lzapcecsdzr5/img10262.jpg?rlkey=fcsobtzd6iq5i0w6lipsqonta&amp;dl=0","Click to download Image")</f>
      </c>
      <c r="B2850" s="0">
        <f>HYPERLINK("https://dl.dropboxusercontent.com/scl/fi/iqvi8q0582vf6kkjzxkkk/womens-size-chartsrosalynn.jpg?rlkey=gk8ovm1lfrt41aroabg8colqu&amp;dl=0","Click to download SizeChart")</f>
      </c>
      <c r="C2850" s="0" t="inlineStr">
        <is>
          <t>Rosalynn Women's Poly Shell Jacket</t>
        </is>
      </c>
      <c r="D2850" s="1">
        <v>106781</v>
      </c>
      <c r="E2850" s="0" t="inlineStr">
        <is>
          <t>IA ROSALYNN:106781A-S</t>
        </is>
      </c>
      <c r="F2850" s="2">
        <v>800106781014</v>
      </c>
      <c r="G2850" s="0" t="inlineStr">
        <is>
          <t>WOMENS</t>
        </is>
      </c>
      <c r="H2850" s="0" t="inlineStr">
        <is>
          <t>S</t>
        </is>
      </c>
      <c r="I2850" s="0">
        <v>89.99</v>
      </c>
      <c r="J2850" s="0">
        <v>14</v>
      </c>
    </row>
    <row r="2851" spans="1:10" customHeight="0">
      <c r="A2851" s="0">
        <f>HYPERLINK("https://dl.dropboxusercontent.com/scl/fi/5ixyt2el0lzapcecsdzr5/img10262.jpg?rlkey=fcsobtzd6iq5i0w6lipsqonta&amp;dl=0","Click to download Image")</f>
      </c>
      <c r="B2851" s="0">
        <f>HYPERLINK("https://dl.dropboxusercontent.com/scl/fi/iqvi8q0582vf6kkjzxkkk/womens-size-chartsrosalynn.jpg?rlkey=gk8ovm1lfrt41aroabg8colqu&amp;dl=0","Click to download SizeChart")</f>
      </c>
      <c r="C2851" s="0" t="inlineStr">
        <is>
          <t>Rosalynn Women's Poly Shell Jacket</t>
        </is>
      </c>
      <c r="D2851" s="1">
        <v>106781</v>
      </c>
      <c r="E2851" s="0" t="inlineStr">
        <is>
          <t>IA ROSALYNN:106781B-M</t>
        </is>
      </c>
      <c r="F2851" s="2">
        <v>800106781021</v>
      </c>
      <c r="G2851" s="0" t="inlineStr">
        <is>
          <t>WOMENS</t>
        </is>
      </c>
      <c r="H2851" s="0" t="inlineStr">
        <is>
          <t>M</t>
        </is>
      </c>
      <c r="I2851" s="0">
        <v>89.99</v>
      </c>
      <c r="J2851" s="0">
        <v>34</v>
      </c>
    </row>
    <row r="2852" spans="1:10" customHeight="0">
      <c r="A2852" s="0">
        <f>HYPERLINK("https://dl.dropboxusercontent.com/scl/fi/5ixyt2el0lzapcecsdzr5/img10262.jpg?rlkey=fcsobtzd6iq5i0w6lipsqonta&amp;dl=0","Click to download Image")</f>
      </c>
      <c r="B2852" s="0">
        <f>HYPERLINK("https://dl.dropboxusercontent.com/scl/fi/iqvi8q0582vf6kkjzxkkk/womens-size-chartsrosalynn.jpg?rlkey=gk8ovm1lfrt41aroabg8colqu&amp;dl=0","Click to download SizeChart")</f>
      </c>
      <c r="C2852" s="0" t="inlineStr">
        <is>
          <t>Rosalynn Women's Poly Shell Jacket</t>
        </is>
      </c>
      <c r="D2852" s="1">
        <v>106781</v>
      </c>
      <c r="E2852" s="0" t="inlineStr">
        <is>
          <t>IA ROSALYNN:106781C-L</t>
        </is>
      </c>
      <c r="F2852" s="2">
        <v>800106781038</v>
      </c>
      <c r="G2852" s="0" t="inlineStr">
        <is>
          <t>WOMENS</t>
        </is>
      </c>
      <c r="H2852" s="0" t="inlineStr">
        <is>
          <t>L</t>
        </is>
      </c>
      <c r="I2852" s="0">
        <v>89.99</v>
      </c>
      <c r="J2852" s="0">
        <v>26</v>
      </c>
    </row>
    <row r="2853" spans="1:10" customHeight="0">
      <c r="A2853" s="0">
        <f>HYPERLINK("https://dl.dropboxusercontent.com/scl/fi/5ixyt2el0lzapcecsdzr5/img10262.jpg?rlkey=fcsobtzd6iq5i0w6lipsqonta&amp;dl=0","Click to download Image")</f>
      </c>
      <c r="B2853" s="0">
        <f>HYPERLINK("https://dl.dropboxusercontent.com/scl/fi/iqvi8q0582vf6kkjzxkkk/womens-size-chartsrosalynn.jpg?rlkey=gk8ovm1lfrt41aroabg8colqu&amp;dl=0","Click to download SizeChart")</f>
      </c>
      <c r="C2853" s="0" t="inlineStr">
        <is>
          <t>Rosalynn Women's Poly Shell Jacket</t>
        </is>
      </c>
      <c r="D2853" s="1">
        <v>106781</v>
      </c>
      <c r="E2853" s="0" t="inlineStr">
        <is>
          <t>IA ROSALYNN:106781D-XL</t>
        </is>
      </c>
      <c r="F2853" s="2">
        <v>800106781045</v>
      </c>
      <c r="G2853" s="0" t="inlineStr">
        <is>
          <t>WOMENS</t>
        </is>
      </c>
      <c r="H2853" s="0" t="inlineStr">
        <is>
          <t>XL</t>
        </is>
      </c>
      <c r="I2853" s="0">
        <v>89.99</v>
      </c>
      <c r="J2853" s="0">
        <v>0</v>
      </c>
    </row>
    <row r="2854" spans="1:10" customHeight="0">
      <c r="A2854" s="0">
        <f>HYPERLINK("https://dl.dropboxusercontent.com/scl/fi/5ixyt2el0lzapcecsdzr5/img10262.jpg?rlkey=fcsobtzd6iq5i0w6lipsqonta&amp;dl=0","Click to download Image")</f>
      </c>
      <c r="B2854" s="0">
        <f>HYPERLINK("https://dl.dropboxusercontent.com/scl/fi/iqvi8q0582vf6kkjzxkkk/womens-size-chartsrosalynn.jpg?rlkey=gk8ovm1lfrt41aroabg8colqu&amp;dl=0","Click to download SizeChart")</f>
      </c>
      <c r="C2854" s="0" t="inlineStr">
        <is>
          <t>Rosalynn Women's Poly Shell Jacket</t>
        </is>
      </c>
      <c r="D2854" s="1">
        <v>106781</v>
      </c>
      <c r="E2854" s="0" t="inlineStr">
        <is>
          <t>IA ROSALYNN:106781E-2XL</t>
        </is>
      </c>
      <c r="F2854" s="2">
        <v>800106781052</v>
      </c>
      <c r="G2854" s="0" t="inlineStr">
        <is>
          <t>WOMENS</t>
        </is>
      </c>
      <c r="H2854" s="0" t="inlineStr">
        <is>
          <t>2XL</t>
        </is>
      </c>
      <c r="I2854" s="0">
        <v>91.99</v>
      </c>
      <c r="J2854" s="0">
        <v>0</v>
      </c>
    </row>
    <row r="2855" spans="1:10" customHeight="0">
      <c r="A2855" s="0">
        <f>HYPERLINK("https://dl.dropboxusercontent.com/scl/fi/5ixyt2el0lzapcecsdzr5/img10262.jpg?rlkey=fcsobtzd6iq5i0w6lipsqonta&amp;dl=0","Click to download Image")</f>
      </c>
      <c r="B2855" s="0">
        <f>HYPERLINK("https://dl.dropboxusercontent.com/scl/fi/iqvi8q0582vf6kkjzxkkk/womens-size-chartsrosalynn.jpg?rlkey=gk8ovm1lfrt41aroabg8colqu&amp;dl=0","Click to download SizeChart")</f>
      </c>
      <c r="C2855" s="0" t="inlineStr">
        <is>
          <t>Rosalynn Women's Poly Shell Jacket</t>
        </is>
      </c>
      <c r="D2855" s="1">
        <v>106781</v>
      </c>
      <c r="E2855" s="0" t="inlineStr">
        <is>
          <t>IA ROSALYNN:106781F-3XL</t>
        </is>
      </c>
      <c r="F2855" s="2">
        <v>800106781069</v>
      </c>
      <c r="G2855" s="0" t="inlineStr">
        <is>
          <t>WOMENS</t>
        </is>
      </c>
      <c r="H2855" s="0" t="inlineStr">
        <is>
          <t>3XL</t>
        </is>
      </c>
      <c r="I2855" s="0">
        <v>91.99</v>
      </c>
      <c r="J2855" s="0">
        <v>5</v>
      </c>
    </row>
    <row r="2856" spans="1:10" customHeight="0">
      <c r="A2856" s="0">
        <f>HYPERLINK("https://dl.dropboxusercontent.com/scl/fi/375m32weqeh42oq799q66/toni.jpg?rlkey=r2tk8c1gad8wxfept6oslng4u&amp;dl=0","Click to download Image")</f>
      </c>
      <c r="B2856" s="0">
        <f>HYPERLINK("https://dl.dropboxusercontent.com/scl/fi/shd2rqtf75ch7nt7i49ni/mens-e.jpg?rlkey=xfke5eg0oofsmvfc9m1cm5okg&amp;dl=0","Click to download SizeChart")</f>
      </c>
      <c r="C2856" s="0" t="inlineStr">
        <is>
          <t>Toni Women's Tank Top</t>
        </is>
      </c>
      <c r="D2856" s="1">
        <v>94184</v>
      </c>
      <c r="E2856" s="0" t="inlineStr">
        <is>
          <t>TONI TANK:94184A-S</t>
        </is>
      </c>
      <c r="G2856" s="0" t="inlineStr">
        <is>
          <t>WOMENS</t>
        </is>
      </c>
      <c r="H2856" s="0" t="inlineStr">
        <is>
          <t>S</t>
        </is>
      </c>
      <c r="I2856" s="0">
        <v>39.99</v>
      </c>
      <c r="J2856" s="0">
        <v>0</v>
      </c>
    </row>
    <row r="2857" spans="1:10" customHeight="0">
      <c r="A2857" s="0">
        <f>HYPERLINK("https://dl.dropboxusercontent.com/scl/fi/375m32weqeh42oq799q66/toni.jpg?rlkey=r2tk8c1gad8wxfept6oslng4u&amp;dl=0","Click to download Image")</f>
      </c>
      <c r="B2857" s="0">
        <f>HYPERLINK("https://dl.dropboxusercontent.com/scl/fi/shd2rqtf75ch7nt7i49ni/mens-e.jpg?rlkey=xfke5eg0oofsmvfc9m1cm5okg&amp;dl=0","Click to download SizeChart")</f>
      </c>
      <c r="C2857" s="0" t="inlineStr">
        <is>
          <t>Toni Women's Tank Top</t>
        </is>
      </c>
      <c r="D2857" s="1">
        <v>94184</v>
      </c>
      <c r="E2857" s="0" t="inlineStr">
        <is>
          <t>TONI TANK:94184B-M</t>
        </is>
      </c>
      <c r="G2857" s="0" t="inlineStr">
        <is>
          <t>WOMENS</t>
        </is>
      </c>
      <c r="H2857" s="0" t="inlineStr">
        <is>
          <t>M</t>
        </is>
      </c>
      <c r="I2857" s="0">
        <v>39.99</v>
      </c>
      <c r="J2857" s="0">
        <v>8</v>
      </c>
    </row>
    <row r="2858" spans="1:10" customHeight="0">
      <c r="A2858" s="0">
        <f>HYPERLINK("https://dl.dropboxusercontent.com/scl/fi/375m32weqeh42oq799q66/toni.jpg?rlkey=r2tk8c1gad8wxfept6oslng4u&amp;dl=0","Click to download Image")</f>
      </c>
      <c r="B2858" s="0">
        <f>HYPERLINK("https://dl.dropboxusercontent.com/scl/fi/shd2rqtf75ch7nt7i49ni/mens-e.jpg?rlkey=xfke5eg0oofsmvfc9m1cm5okg&amp;dl=0","Click to download SizeChart")</f>
      </c>
      <c r="C2858" s="0" t="inlineStr">
        <is>
          <t>Toni Women's Tank Top</t>
        </is>
      </c>
      <c r="D2858" s="1">
        <v>94184</v>
      </c>
      <c r="E2858" s="0" t="inlineStr">
        <is>
          <t>TONI TANK:94184C-L</t>
        </is>
      </c>
      <c r="G2858" s="0" t="inlineStr">
        <is>
          <t>WOMENS</t>
        </is>
      </c>
      <c r="H2858" s="0" t="inlineStr">
        <is>
          <t>L</t>
        </is>
      </c>
      <c r="I2858" s="0">
        <v>39.99</v>
      </c>
      <c r="J2858" s="0">
        <v>75</v>
      </c>
    </row>
    <row r="2859" spans="1:10" customHeight="0">
      <c r="A2859" s="0">
        <f>HYPERLINK("https://dl.dropboxusercontent.com/scl/fi/375m32weqeh42oq799q66/toni.jpg?rlkey=r2tk8c1gad8wxfept6oslng4u&amp;dl=0","Click to download Image")</f>
      </c>
      <c r="B2859" s="0">
        <f>HYPERLINK("https://dl.dropboxusercontent.com/scl/fi/shd2rqtf75ch7nt7i49ni/mens-e.jpg?rlkey=xfke5eg0oofsmvfc9m1cm5okg&amp;dl=0","Click to download SizeChart")</f>
      </c>
      <c r="C2859" s="0" t="inlineStr">
        <is>
          <t>Toni Women's Tank Top</t>
        </is>
      </c>
      <c r="D2859" s="1">
        <v>94184</v>
      </c>
      <c r="E2859" s="0" t="inlineStr">
        <is>
          <t>TONI TANK:94184D-XL</t>
        </is>
      </c>
      <c r="G2859" s="0" t="inlineStr">
        <is>
          <t>WOMENS</t>
        </is>
      </c>
      <c r="H2859" s="0" t="inlineStr">
        <is>
          <t>XL</t>
        </is>
      </c>
      <c r="I2859" s="0">
        <v>39.99</v>
      </c>
      <c r="J2859" s="0">
        <v>80</v>
      </c>
    </row>
    <row r="2860" spans="1:10" customHeight="0">
      <c r="A2860" s="0">
        <f>HYPERLINK("https://dl.dropboxusercontent.com/scl/fi/375m32weqeh42oq799q66/toni.jpg?rlkey=r2tk8c1gad8wxfept6oslng4u&amp;dl=0","Click to download Image")</f>
      </c>
      <c r="B2860" s="0">
        <f>HYPERLINK("https://dl.dropboxusercontent.com/scl/fi/shd2rqtf75ch7nt7i49ni/mens-e.jpg?rlkey=xfke5eg0oofsmvfc9m1cm5okg&amp;dl=0","Click to download SizeChart")</f>
      </c>
      <c r="C2860" s="0" t="inlineStr">
        <is>
          <t>Toni Women's Tank Top</t>
        </is>
      </c>
      <c r="D2860" s="1">
        <v>94184</v>
      </c>
      <c r="E2860" s="0" t="inlineStr">
        <is>
          <t>TONI TANK:94184E-2XL</t>
        </is>
      </c>
      <c r="G2860" s="0" t="inlineStr">
        <is>
          <t>WOMENS</t>
        </is>
      </c>
      <c r="H2860" s="0" t="inlineStr">
        <is>
          <t>2XL</t>
        </is>
      </c>
      <c r="I2860" s="0">
        <v>39.99</v>
      </c>
      <c r="J2860" s="0">
        <v>30</v>
      </c>
    </row>
    <row r="2861" spans="1:10" customHeight="0">
      <c r="A2861" s="0">
        <f>HYPERLINK("https://dl.dropboxusercontent.com/scl/fi/xn24lb7dvrhlfgbbil2ke/107134af97273.jpg?rlkey=nhwwwxy8xhunknoi379pl7hl9&amp;dl=0","Click to download Image")</f>
      </c>
      <c r="B2861" s="0">
        <f>HYPERLINK("https://dl.dropboxusercontent.com/scl/fi/01yuqyuniut861zr9jkz1/8-19-youth.jpg?rlkey=6n0ehyjr8odd7jey72u01jjwq&amp;dl=0","Click to download SizeChart")</f>
      </c>
      <c r="C2861" s="0" t="inlineStr">
        <is>
          <t>Dixon Youth Long Sleeve</t>
        </is>
      </c>
      <c r="D2861" s="1">
        <v>107134</v>
      </c>
      <c r="E2861" s="0" t="inlineStr">
        <is>
          <t>IA DIXON:107134B-YS</t>
        </is>
      </c>
      <c r="F2861" s="2">
        <v>800107134017</v>
      </c>
      <c r="G2861" s="0" t="inlineStr">
        <is>
          <t>YOUTH</t>
        </is>
      </c>
      <c r="H2861" s="0" t="inlineStr">
        <is>
          <t>YS</t>
        </is>
      </c>
      <c r="I2861" s="0">
        <v>29.99</v>
      </c>
      <c r="J2861" s="0">
        <v>14</v>
      </c>
    </row>
    <row r="2862" spans="1:10" customHeight="0">
      <c r="A2862" s="0">
        <f>HYPERLINK("https://dl.dropboxusercontent.com/scl/fi/xn24lb7dvrhlfgbbil2ke/107134af97273.jpg?rlkey=nhwwwxy8xhunknoi379pl7hl9&amp;dl=0","Click to download Image")</f>
      </c>
      <c r="B2862" s="0">
        <f>HYPERLINK("https://dl.dropboxusercontent.com/scl/fi/01yuqyuniut861zr9jkz1/8-19-youth.jpg?rlkey=6n0ehyjr8odd7jey72u01jjwq&amp;dl=0","Click to download SizeChart")</f>
      </c>
      <c r="C2862" s="0" t="inlineStr">
        <is>
          <t>Dixon Youth Long Sleeve</t>
        </is>
      </c>
      <c r="D2862" s="1">
        <v>107134</v>
      </c>
      <c r="E2862" s="0" t="inlineStr">
        <is>
          <t>IA DIXON:107134C-YM</t>
        </is>
      </c>
      <c r="F2862" s="2">
        <v>800107134024</v>
      </c>
      <c r="G2862" s="0" t="inlineStr">
        <is>
          <t>YOUTH</t>
        </is>
      </c>
      <c r="H2862" s="0" t="inlineStr">
        <is>
          <t>YM</t>
        </is>
      </c>
      <c r="I2862" s="0">
        <v>29.99</v>
      </c>
      <c r="J2862" s="0">
        <v>13</v>
      </c>
    </row>
    <row r="2863" spans="1:10" customHeight="0">
      <c r="A2863" s="0">
        <f>HYPERLINK("https://dl.dropboxusercontent.com/scl/fi/xn24lb7dvrhlfgbbil2ke/107134af97273.jpg?rlkey=nhwwwxy8xhunknoi379pl7hl9&amp;dl=0","Click to download Image")</f>
      </c>
      <c r="B2863" s="0">
        <f>HYPERLINK("https://dl.dropboxusercontent.com/scl/fi/01yuqyuniut861zr9jkz1/8-19-youth.jpg?rlkey=6n0ehyjr8odd7jey72u01jjwq&amp;dl=0","Click to download SizeChart")</f>
      </c>
      <c r="C2863" s="0" t="inlineStr">
        <is>
          <t>Dixon Youth Long Sleeve</t>
        </is>
      </c>
      <c r="D2863" s="1">
        <v>107134</v>
      </c>
      <c r="E2863" s="0" t="inlineStr">
        <is>
          <t>IA DIXON:107134D-YL</t>
        </is>
      </c>
      <c r="F2863" s="2">
        <v>800107134031</v>
      </c>
      <c r="G2863" s="0" t="inlineStr">
        <is>
          <t>YOUTH</t>
        </is>
      </c>
      <c r="H2863" s="0" t="inlineStr">
        <is>
          <t>YL</t>
        </is>
      </c>
      <c r="I2863" s="0">
        <v>29.99</v>
      </c>
      <c r="J2863" s="0">
        <v>16</v>
      </c>
    </row>
    <row r="2864" spans="1:10" customHeight="0">
      <c r="A2864" s="0">
        <f>HYPERLINK("https://dl.dropboxusercontent.com/scl/fi/xn24lb7dvrhlfgbbil2ke/107134af97273.jpg?rlkey=nhwwwxy8xhunknoi379pl7hl9&amp;dl=0","Click to download Image")</f>
      </c>
      <c r="B2864" s="0">
        <f>HYPERLINK("https://dl.dropboxusercontent.com/scl/fi/01yuqyuniut861zr9jkz1/8-19-youth.jpg?rlkey=6n0ehyjr8odd7jey72u01jjwq&amp;dl=0","Click to download SizeChart")</f>
      </c>
      <c r="C2864" s="0" t="inlineStr">
        <is>
          <t>Dixon Youth Long Sleeve</t>
        </is>
      </c>
      <c r="D2864" s="1">
        <v>107134</v>
      </c>
      <c r="E2864" s="0" t="inlineStr">
        <is>
          <t>IA DIXON:107134E-YXL</t>
        </is>
      </c>
      <c r="F2864" s="2">
        <v>800107134048</v>
      </c>
      <c r="G2864" s="0" t="inlineStr">
        <is>
          <t>YOUTH</t>
        </is>
      </c>
      <c r="H2864" s="0" t="inlineStr">
        <is>
          <t>YXL</t>
        </is>
      </c>
      <c r="I2864" s="0">
        <v>29.99</v>
      </c>
      <c r="J2864" s="0">
        <v>41</v>
      </c>
    </row>
    <row r="2865" spans="1:10" customHeight="0">
      <c r="A2865" s="0">
        <f>HYPERLINK("https://dl.dropboxusercontent.com/scl/fi/x238c6ldr6kkta6dqxlbe/taylin.jpg?rlkey=m0pdqt6xrrno4kqy0j3zxfpgn&amp;dl=0","Click to download Image")</f>
      </c>
      <c r="C2865" s="0" t="inlineStr">
        <is>
          <t>Taylin Ponytail Running Beanie</t>
        </is>
      </c>
      <c r="D2865" s="1">
        <v>95957</v>
      </c>
      <c r="E2865" s="0" t="inlineStr">
        <is>
          <t>95957 TAYLIN</t>
        </is>
      </c>
      <c r="G2865" s="0" t="inlineStr">
        <is>
          <t>WOMENS</t>
        </is>
      </c>
      <c r="H2865" s="0" t="inlineStr">
        <is>
          <t>WOMENS</t>
        </is>
      </c>
      <c r="I2865" s="0">
        <v>21.99</v>
      </c>
      <c r="J2865" s="0">
        <v>32</v>
      </c>
    </row>
    <row r="2866" spans="1:10" customHeight="0">
      <c r="A2866" s="0">
        <f>HYPERLINK("https://dl.dropboxusercontent.com/scl/fi/6slmouqjxz8qj3k29tx4m/tanner.jpg?rlkey=71i7epxacwgzx3jork741bzl9&amp;dl=0","Click to download Image")</f>
      </c>
      <c r="B2866" s="0">
        <f>HYPERLINK("https://dl.dropboxusercontent.com/scl/fi/qmlxxgm1pvecmao2p1kd4/mens-c.jpg?rlkey=mu3egtvquurfoh9tryjcnomlv&amp;dl=0","Click to download SizeChart")</f>
      </c>
      <c r="C2866" s="0" t="inlineStr">
        <is>
          <t>Tanner Men's Tank Top</t>
        </is>
      </c>
      <c r="D2866" s="1">
        <v>94186</v>
      </c>
      <c r="E2866" s="0" t="inlineStr">
        <is>
          <t>TANNER:94186A-S</t>
        </is>
      </c>
      <c r="G2866" s="0" t="inlineStr">
        <is>
          <t>MENS</t>
        </is>
      </c>
      <c r="H2866" s="0" t="inlineStr">
        <is>
          <t>S</t>
        </is>
      </c>
      <c r="I2866" s="0">
        <v>29.99</v>
      </c>
      <c r="J2866" s="0">
        <v>16</v>
      </c>
    </row>
    <row r="2867" spans="1:10" customHeight="0">
      <c r="A2867" s="0">
        <f>HYPERLINK("https://dl.dropboxusercontent.com/scl/fi/6slmouqjxz8qj3k29tx4m/tanner.jpg?rlkey=71i7epxacwgzx3jork741bzl9&amp;dl=0","Click to download Image")</f>
      </c>
      <c r="B2867" s="0">
        <f>HYPERLINK("https://dl.dropboxusercontent.com/scl/fi/qmlxxgm1pvecmao2p1kd4/mens-c.jpg?rlkey=mu3egtvquurfoh9tryjcnomlv&amp;dl=0","Click to download SizeChart")</f>
      </c>
      <c r="C2867" s="0" t="inlineStr">
        <is>
          <t>Tanner Men's Tank Top</t>
        </is>
      </c>
      <c r="D2867" s="1">
        <v>94186</v>
      </c>
      <c r="E2867" s="0" t="inlineStr">
        <is>
          <t>TANNER:94186B-M</t>
        </is>
      </c>
      <c r="G2867" s="0" t="inlineStr">
        <is>
          <t>MENS</t>
        </is>
      </c>
      <c r="H2867" s="0" t="inlineStr">
        <is>
          <t>M</t>
        </is>
      </c>
      <c r="I2867" s="0">
        <v>29.99</v>
      </c>
      <c r="J2867" s="0">
        <v>41</v>
      </c>
    </row>
    <row r="2868" spans="1:10" customHeight="0">
      <c r="A2868" s="0">
        <f>HYPERLINK("https://dl.dropboxusercontent.com/scl/fi/6slmouqjxz8qj3k29tx4m/tanner.jpg?rlkey=71i7epxacwgzx3jork741bzl9&amp;dl=0","Click to download Image")</f>
      </c>
      <c r="B2868" s="0">
        <f>HYPERLINK("https://dl.dropboxusercontent.com/scl/fi/qmlxxgm1pvecmao2p1kd4/mens-c.jpg?rlkey=mu3egtvquurfoh9tryjcnomlv&amp;dl=0","Click to download SizeChart")</f>
      </c>
      <c r="C2868" s="0" t="inlineStr">
        <is>
          <t>Tanner Men's Tank Top</t>
        </is>
      </c>
      <c r="D2868" s="1">
        <v>94186</v>
      </c>
      <c r="E2868" s="0" t="inlineStr">
        <is>
          <t>TANNER:94186C-L</t>
        </is>
      </c>
      <c r="G2868" s="0" t="inlineStr">
        <is>
          <t>MENS</t>
        </is>
      </c>
      <c r="H2868" s="0" t="inlineStr">
        <is>
          <t>L</t>
        </is>
      </c>
      <c r="I2868" s="0">
        <v>29.99</v>
      </c>
      <c r="J2868" s="0">
        <v>77</v>
      </c>
    </row>
    <row r="2869" spans="1:10" customHeight="0">
      <c r="A2869" s="0">
        <f>HYPERLINK("https://dl.dropboxusercontent.com/scl/fi/6slmouqjxz8qj3k29tx4m/tanner.jpg?rlkey=71i7epxacwgzx3jork741bzl9&amp;dl=0","Click to download Image")</f>
      </c>
      <c r="B2869" s="0">
        <f>HYPERLINK("https://dl.dropboxusercontent.com/scl/fi/qmlxxgm1pvecmao2p1kd4/mens-c.jpg?rlkey=mu3egtvquurfoh9tryjcnomlv&amp;dl=0","Click to download SizeChart")</f>
      </c>
      <c r="C2869" s="0" t="inlineStr">
        <is>
          <t>Tanner Men's Tank Top</t>
        </is>
      </c>
      <c r="D2869" s="1">
        <v>94186</v>
      </c>
      <c r="E2869" s="0" t="inlineStr">
        <is>
          <t>TANNER:94186D-XL</t>
        </is>
      </c>
      <c r="G2869" s="0" t="inlineStr">
        <is>
          <t>MENS</t>
        </is>
      </c>
      <c r="H2869" s="0" t="inlineStr">
        <is>
          <t>XL</t>
        </is>
      </c>
      <c r="I2869" s="0">
        <v>29.99</v>
      </c>
      <c r="J2869" s="0">
        <v>83</v>
      </c>
    </row>
    <row r="2870" spans="1:10" customHeight="0">
      <c r="A2870" s="0">
        <f>HYPERLINK("https://dl.dropboxusercontent.com/scl/fi/6slmouqjxz8qj3k29tx4m/tanner.jpg?rlkey=71i7epxacwgzx3jork741bzl9&amp;dl=0","Click to download Image")</f>
      </c>
      <c r="B2870" s="0">
        <f>HYPERLINK("https://dl.dropboxusercontent.com/scl/fi/qmlxxgm1pvecmao2p1kd4/mens-c.jpg?rlkey=mu3egtvquurfoh9tryjcnomlv&amp;dl=0","Click to download SizeChart")</f>
      </c>
      <c r="C2870" s="0" t="inlineStr">
        <is>
          <t>Tanner Men's Tank Top</t>
        </is>
      </c>
      <c r="D2870" s="1">
        <v>94186</v>
      </c>
      <c r="E2870" s="0" t="inlineStr">
        <is>
          <t>TANNER:94186E-2X</t>
        </is>
      </c>
      <c r="G2870" s="0" t="inlineStr">
        <is>
          <t>MENS</t>
        </is>
      </c>
      <c r="H2870" s="0" t="inlineStr">
        <is>
          <t>2XL</t>
        </is>
      </c>
      <c r="I2870" s="0">
        <v>31.99</v>
      </c>
      <c r="J2870" s="0">
        <v>47</v>
      </c>
    </row>
    <row r="2871" spans="1:10" customHeight="0">
      <c r="A2871" s="0">
        <f>HYPERLINK("https://dl.dropboxusercontent.com/scl/fi/6slmouqjxz8qj3k29tx4m/tanner.jpg?rlkey=71i7epxacwgzx3jork741bzl9&amp;dl=0","Click to download Image")</f>
      </c>
      <c r="B2871" s="0">
        <f>HYPERLINK("https://dl.dropboxusercontent.com/scl/fi/qmlxxgm1pvecmao2p1kd4/mens-c.jpg?rlkey=mu3egtvquurfoh9tryjcnomlv&amp;dl=0","Click to download SizeChart")</f>
      </c>
      <c r="C2871" s="0" t="inlineStr">
        <is>
          <t>Tanner Men's Tank Top</t>
        </is>
      </c>
      <c r="D2871" s="1">
        <v>94186</v>
      </c>
      <c r="E2871" s="0" t="inlineStr">
        <is>
          <t>TANNER:94186F-3X</t>
        </is>
      </c>
      <c r="G2871" s="0" t="inlineStr">
        <is>
          <t>MENS</t>
        </is>
      </c>
      <c r="H2871" s="0" t="inlineStr">
        <is>
          <t>3XL</t>
        </is>
      </c>
      <c r="I2871" s="0">
        <v>31.99</v>
      </c>
      <c r="J2871" s="0">
        <v>29</v>
      </c>
    </row>
    <row r="2872" spans="1:10" customHeight="0">
      <c r="A2872" s="0">
        <f>HYPERLINK("https://dl.dropboxusercontent.com/scl/fi/k4t8xje6812yzr3be419k/tabby-02.jpg?rlkey=yyl9ljr4ai9wggu59kqi9p9cx&amp;dl=0","Click to download Image")</f>
      </c>
      <c r="B2872" s="0">
        <f>HYPERLINK("https://dl.dropboxusercontent.com/scl/fi/xeuhy1j3czu3vwzaxpj58/size-chartladies-g.jpg?rlkey=hf1v4kcuw96c0sn9yj7mkotxn&amp;dl=0","Click to download SizeChart")</f>
      </c>
      <c r="C2872" s="0" t="inlineStr">
        <is>
          <t>Tabby Women's Tank Top</t>
        </is>
      </c>
      <c r="D2872" s="1">
        <v>96419</v>
      </c>
      <c r="E2872" s="0" t="inlineStr">
        <is>
          <t>TABBY:96419A-S</t>
        </is>
      </c>
      <c r="G2872" s="0" t="inlineStr">
        <is>
          <t>WOMENS</t>
        </is>
      </c>
      <c r="H2872" s="0" t="inlineStr">
        <is>
          <t>S</t>
        </is>
      </c>
      <c r="I2872" s="0">
        <v>39.99</v>
      </c>
      <c r="J2872" s="0">
        <v>18</v>
      </c>
    </row>
    <row r="2873" spans="1:10" customHeight="0">
      <c r="A2873" s="0">
        <f>HYPERLINK("https://dl.dropboxusercontent.com/scl/fi/k4t8xje6812yzr3be419k/tabby-02.jpg?rlkey=yyl9ljr4ai9wggu59kqi9p9cx&amp;dl=0","Click to download Image")</f>
      </c>
      <c r="B2873" s="0">
        <f>HYPERLINK("https://dl.dropboxusercontent.com/scl/fi/xeuhy1j3czu3vwzaxpj58/size-chartladies-g.jpg?rlkey=hf1v4kcuw96c0sn9yj7mkotxn&amp;dl=0","Click to download SizeChart")</f>
      </c>
      <c r="C2873" s="0" t="inlineStr">
        <is>
          <t>Tabby Women's Tank Top</t>
        </is>
      </c>
      <c r="D2873" s="1">
        <v>96419</v>
      </c>
      <c r="E2873" s="0" t="inlineStr">
        <is>
          <t>TABBY:96419B-M</t>
        </is>
      </c>
      <c r="G2873" s="0" t="inlineStr">
        <is>
          <t>WOMENS</t>
        </is>
      </c>
      <c r="H2873" s="0" t="inlineStr">
        <is>
          <t>M</t>
        </is>
      </c>
      <c r="I2873" s="0">
        <v>39.99</v>
      </c>
      <c r="J2873" s="0">
        <v>15</v>
      </c>
    </row>
    <row r="2874" spans="1:10" customHeight="0">
      <c r="A2874" s="0">
        <f>HYPERLINK("https://dl.dropboxusercontent.com/scl/fi/k4t8xje6812yzr3be419k/tabby-02.jpg?rlkey=yyl9ljr4ai9wggu59kqi9p9cx&amp;dl=0","Click to download Image")</f>
      </c>
      <c r="B2874" s="0">
        <f>HYPERLINK("https://dl.dropboxusercontent.com/scl/fi/xeuhy1j3czu3vwzaxpj58/size-chartladies-g.jpg?rlkey=hf1v4kcuw96c0sn9yj7mkotxn&amp;dl=0","Click to download SizeChart")</f>
      </c>
      <c r="C2874" s="0" t="inlineStr">
        <is>
          <t>Tabby Women's Tank Top</t>
        </is>
      </c>
      <c r="D2874" s="1">
        <v>96419</v>
      </c>
      <c r="E2874" s="0" t="inlineStr">
        <is>
          <t>TABBY:96419C-L</t>
        </is>
      </c>
      <c r="G2874" s="0" t="inlineStr">
        <is>
          <t>WOMENS</t>
        </is>
      </c>
      <c r="H2874" s="0" t="inlineStr">
        <is>
          <t>L</t>
        </is>
      </c>
      <c r="I2874" s="0">
        <v>39.99</v>
      </c>
      <c r="J2874" s="0">
        <v>55</v>
      </c>
    </row>
    <row r="2875" spans="1:10" customHeight="0">
      <c r="A2875" s="0">
        <f>HYPERLINK("https://dl.dropboxusercontent.com/scl/fi/k4t8xje6812yzr3be419k/tabby-02.jpg?rlkey=yyl9ljr4ai9wggu59kqi9p9cx&amp;dl=0","Click to download Image")</f>
      </c>
      <c r="B2875" s="0">
        <f>HYPERLINK("https://dl.dropboxusercontent.com/scl/fi/xeuhy1j3czu3vwzaxpj58/size-chartladies-g.jpg?rlkey=hf1v4kcuw96c0sn9yj7mkotxn&amp;dl=0","Click to download SizeChart")</f>
      </c>
      <c r="C2875" s="0" t="inlineStr">
        <is>
          <t>Tabby Women's Tank Top</t>
        </is>
      </c>
      <c r="D2875" s="1">
        <v>96419</v>
      </c>
      <c r="E2875" s="0" t="inlineStr">
        <is>
          <t>TABBY:96419D-XL</t>
        </is>
      </c>
      <c r="G2875" s="0" t="inlineStr">
        <is>
          <t>WOMENS</t>
        </is>
      </c>
      <c r="H2875" s="0" t="inlineStr">
        <is>
          <t>XL</t>
        </is>
      </c>
      <c r="I2875" s="0">
        <v>39.99</v>
      </c>
      <c r="J2875" s="0">
        <v>68</v>
      </c>
    </row>
    <row r="2876" spans="1:10" customHeight="0">
      <c r="A2876" s="0">
        <f>HYPERLINK("https://dl.dropboxusercontent.com/scl/fi/k4t8xje6812yzr3be419k/tabby-02.jpg?rlkey=yyl9ljr4ai9wggu59kqi9p9cx&amp;dl=0","Click to download Image")</f>
      </c>
      <c r="B2876" s="0">
        <f>HYPERLINK("https://dl.dropboxusercontent.com/scl/fi/xeuhy1j3czu3vwzaxpj58/size-chartladies-g.jpg?rlkey=hf1v4kcuw96c0sn9yj7mkotxn&amp;dl=0","Click to download SizeChart")</f>
      </c>
      <c r="C2876" s="0" t="inlineStr">
        <is>
          <t>Tabby Women's Tank Top</t>
        </is>
      </c>
      <c r="D2876" s="1">
        <v>96419</v>
      </c>
      <c r="E2876" s="0" t="inlineStr">
        <is>
          <t>TABBY:96419E-2XL</t>
        </is>
      </c>
      <c r="G2876" s="0" t="inlineStr">
        <is>
          <t>WOMENS</t>
        </is>
      </c>
      <c r="H2876" s="0" t="inlineStr">
        <is>
          <t>2XL</t>
        </is>
      </c>
      <c r="I2876" s="0">
        <v>39.99</v>
      </c>
      <c r="J2876" s="0">
        <v>21</v>
      </c>
    </row>
    <row r="2877" spans="1:10" customHeight="0">
      <c r="A2877" s="0">
        <f>HYPERLINK("https://dl.dropboxusercontent.com/scl/fi/tnoc53qr6o60pncesivg0/dsc541911507.jpg?rlkey=ozholsuiwav8rs23cz568887z&amp;dl=0","Click to download Image")</f>
      </c>
      <c r="B2877" s="0">
        <f>HYPERLINK("https://dl.dropboxusercontent.com/scl/fi/fkctsygm3xvfz61agh0cp/womens-short-sleeve-size-chartspenny.jpg?rlkey=lvvvzhnzqqgmqj4trq0su5fmk&amp;dl=0","Click to download SizeChart")</f>
      </c>
      <c r="C2877" s="0" t="inlineStr">
        <is>
          <t>Penny Women's T-Shirt</t>
        </is>
      </c>
      <c r="D2877" s="1">
        <v>104570</v>
      </c>
      <c r="E2877" s="0" t="inlineStr">
        <is>
          <t>PENNY:104570A-S</t>
        </is>
      </c>
      <c r="F2877" s="2">
        <v>80010457001</v>
      </c>
      <c r="G2877" s="0" t="inlineStr">
        <is>
          <t>WOMENS</t>
        </is>
      </c>
      <c r="H2877" s="0" t="inlineStr">
        <is>
          <t>S</t>
        </is>
      </c>
      <c r="I2877" s="0">
        <v>31.99</v>
      </c>
      <c r="J2877" s="0">
        <v>51</v>
      </c>
    </row>
    <row r="2878" spans="1:10" customHeight="0">
      <c r="A2878" s="0">
        <f>HYPERLINK("https://dl.dropboxusercontent.com/scl/fi/tnoc53qr6o60pncesivg0/dsc541911507.jpg?rlkey=ozholsuiwav8rs23cz568887z&amp;dl=0","Click to download Image")</f>
      </c>
      <c r="B2878" s="0">
        <f>HYPERLINK("https://dl.dropboxusercontent.com/scl/fi/fkctsygm3xvfz61agh0cp/womens-short-sleeve-size-chartspenny.jpg?rlkey=lvvvzhnzqqgmqj4trq0su5fmk&amp;dl=0","Click to download SizeChart")</f>
      </c>
      <c r="C2878" s="0" t="inlineStr">
        <is>
          <t>Penny Women's T-Shirt</t>
        </is>
      </c>
      <c r="D2878" s="1">
        <v>104570</v>
      </c>
      <c r="E2878" s="0" t="inlineStr">
        <is>
          <t>PENNY:104570B-M</t>
        </is>
      </c>
      <c r="F2878" s="2">
        <v>80010457002</v>
      </c>
      <c r="G2878" s="0" t="inlineStr">
        <is>
          <t>WOMENS</t>
        </is>
      </c>
      <c r="H2878" s="0" t="inlineStr">
        <is>
          <t>M</t>
        </is>
      </c>
      <c r="I2878" s="0">
        <v>31.99</v>
      </c>
      <c r="J2878" s="0">
        <v>56</v>
      </c>
    </row>
    <row r="2879" spans="1:10" customHeight="0">
      <c r="A2879" s="0">
        <f>HYPERLINK("https://dl.dropboxusercontent.com/scl/fi/tnoc53qr6o60pncesivg0/dsc541911507.jpg?rlkey=ozholsuiwav8rs23cz568887z&amp;dl=0","Click to download Image")</f>
      </c>
      <c r="B2879" s="0">
        <f>HYPERLINK("https://dl.dropboxusercontent.com/scl/fi/fkctsygm3xvfz61agh0cp/womens-short-sleeve-size-chartspenny.jpg?rlkey=lvvvzhnzqqgmqj4trq0su5fmk&amp;dl=0","Click to download SizeChart")</f>
      </c>
      <c r="C2879" s="0" t="inlineStr">
        <is>
          <t>Penny Women's T-Shirt</t>
        </is>
      </c>
      <c r="D2879" s="1">
        <v>104570</v>
      </c>
      <c r="E2879" s="0" t="inlineStr">
        <is>
          <t>PENNY:104570C-L</t>
        </is>
      </c>
      <c r="F2879" s="2">
        <v>80010457003</v>
      </c>
      <c r="G2879" s="0" t="inlineStr">
        <is>
          <t>WOMENS</t>
        </is>
      </c>
      <c r="H2879" s="0" t="inlineStr">
        <is>
          <t>L</t>
        </is>
      </c>
      <c r="I2879" s="0">
        <v>31.99</v>
      </c>
      <c r="J2879" s="0">
        <v>68</v>
      </c>
    </row>
    <row r="2880" spans="1:10" customHeight="0">
      <c r="A2880" s="0">
        <f>HYPERLINK("https://dl.dropboxusercontent.com/scl/fi/tnoc53qr6o60pncesivg0/dsc541911507.jpg?rlkey=ozholsuiwav8rs23cz568887z&amp;dl=0","Click to download Image")</f>
      </c>
      <c r="B2880" s="0">
        <f>HYPERLINK("https://dl.dropboxusercontent.com/scl/fi/fkctsygm3xvfz61agh0cp/womens-short-sleeve-size-chartspenny.jpg?rlkey=lvvvzhnzqqgmqj4trq0su5fmk&amp;dl=0","Click to download SizeChart")</f>
      </c>
      <c r="C2880" s="0" t="inlineStr">
        <is>
          <t>Penny Women's T-Shirt</t>
        </is>
      </c>
      <c r="D2880" s="1">
        <v>104570</v>
      </c>
      <c r="E2880" s="0" t="inlineStr">
        <is>
          <t>PENNY:104570D-XL</t>
        </is>
      </c>
      <c r="F2880" s="2">
        <v>80010457004</v>
      </c>
      <c r="G2880" s="0" t="inlineStr">
        <is>
          <t>WOMENS</t>
        </is>
      </c>
      <c r="H2880" s="0" t="inlineStr">
        <is>
          <t>XL</t>
        </is>
      </c>
      <c r="I2880" s="0">
        <v>31.99</v>
      </c>
      <c r="J2880" s="0">
        <v>68</v>
      </c>
    </row>
    <row r="2881" spans="1:10" customHeight="0">
      <c r="A2881" s="0">
        <f>HYPERLINK("https://dl.dropboxusercontent.com/scl/fi/tnoc53qr6o60pncesivg0/dsc541911507.jpg?rlkey=ozholsuiwav8rs23cz568887z&amp;dl=0","Click to download Image")</f>
      </c>
      <c r="B2881" s="0">
        <f>HYPERLINK("https://dl.dropboxusercontent.com/scl/fi/fkctsygm3xvfz61agh0cp/womens-short-sleeve-size-chartspenny.jpg?rlkey=lvvvzhnzqqgmqj4trq0su5fmk&amp;dl=0","Click to download SizeChart")</f>
      </c>
      <c r="C2881" s="0" t="inlineStr">
        <is>
          <t>Penny Women's T-Shirt</t>
        </is>
      </c>
      <c r="D2881" s="1">
        <v>104570</v>
      </c>
      <c r="E2881" s="0" t="inlineStr">
        <is>
          <t>PENNY:104570E-2XL</t>
        </is>
      </c>
      <c r="F2881" s="2">
        <v>80010457005</v>
      </c>
      <c r="G2881" s="0" t="inlineStr">
        <is>
          <t>WOMENS</t>
        </is>
      </c>
      <c r="H2881" s="0" t="inlineStr">
        <is>
          <t>2XL</t>
        </is>
      </c>
      <c r="I2881" s="0">
        <v>33.99</v>
      </c>
      <c r="J2881" s="0">
        <v>48</v>
      </c>
    </row>
    <row r="2882" spans="1:10" customHeight="0">
      <c r="A2882" s="0">
        <f>HYPERLINK("https://dl.dropboxusercontent.com/scl/fi/tnoc53qr6o60pncesivg0/dsc541911507.jpg?rlkey=ozholsuiwav8rs23cz568887z&amp;dl=0","Click to download Image")</f>
      </c>
      <c r="B2882" s="0">
        <f>HYPERLINK("https://dl.dropboxusercontent.com/scl/fi/fkctsygm3xvfz61agh0cp/womens-short-sleeve-size-chartspenny.jpg?rlkey=lvvvzhnzqqgmqj4trq0su5fmk&amp;dl=0","Click to download SizeChart")</f>
      </c>
      <c r="C2882" s="0" t="inlineStr">
        <is>
          <t>Penny Women's T-Shirt</t>
        </is>
      </c>
      <c r="D2882" s="1">
        <v>104570</v>
      </c>
      <c r="E2882" s="0" t="inlineStr">
        <is>
          <t>PENNY:104570F-3XL</t>
        </is>
      </c>
      <c r="F2882" s="2">
        <v>80010457006</v>
      </c>
      <c r="G2882" s="0" t="inlineStr">
        <is>
          <t>WOMENS</t>
        </is>
      </c>
      <c r="H2882" s="0" t="inlineStr">
        <is>
          <t>3XL</t>
        </is>
      </c>
      <c r="I2882" s="0">
        <v>33.99</v>
      </c>
      <c r="J2882" s="0">
        <v>13</v>
      </c>
    </row>
    <row r="2883" spans="1:10" customHeight="0">
      <c r="A2883" s="0">
        <f>HYPERLINK("https://dl.dropboxusercontent.com/scl/fi/8pnuh0ri91xlcrwwzyss8/106983af37012.jpg?rlkey=qy38dqjkqs9e5r3eqgs2yxcnf&amp;dl=0","Click to download Image")</f>
      </c>
      <c r="C2883" s="0" t="inlineStr">
        <is>
          <t>Murphy Scarf OSFM</t>
        </is>
      </c>
      <c r="D2883" s="1">
        <v>106983</v>
      </c>
      <c r="E2883" s="0" t="inlineStr">
        <is>
          <t>IA MURPHY:106983</t>
        </is>
      </c>
      <c r="F2883" s="2">
        <v>900106983019</v>
      </c>
      <c r="I2883" s="0">
        <v>23.99</v>
      </c>
      <c r="J2883" s="0">
        <v>214</v>
      </c>
    </row>
    <row r="2884" spans="1:10" customHeight="0">
      <c r="A2884" s="0">
        <f>HYPERLINK("https://dl.dropboxusercontent.com/scl/fi/m4rg4lzr2mz34s4uovb2k/swarm.jpg?rlkey=3lsh8csj55b4wfqhiku1s9ns0&amp;dl=0","Click to download Image")</f>
      </c>
      <c r="C2884" s="0" t="inlineStr">
        <is>
          <t>Swarm Men's Hip Hop Cap</t>
        </is>
      </c>
      <c r="D2884" s="1">
        <v>93783</v>
      </c>
      <c r="E2884" s="0" t="inlineStr">
        <is>
          <t>SWARM:93783</t>
        </is>
      </c>
      <c r="G2884" s="0" t="inlineStr">
        <is>
          <t>MENS</t>
        </is>
      </c>
      <c r="H2884" s="0" t="inlineStr">
        <is>
          <t>STANDARD MENS</t>
        </is>
      </c>
      <c r="I2884" s="0">
        <v>24.99</v>
      </c>
      <c r="J2884" s="0">
        <v>14</v>
      </c>
    </row>
    <row r="2885" spans="1:10" customHeight="0">
      <c r="A2885" s="0">
        <f>HYPERLINK("https://dl.dropboxusercontent.com/scl/fi/v5m6jl9bik15a3qswx0v4/109180af.jpg?rlkey=r1ny059u9o4glat80mc8yjuis&amp;dl=0","Click to download Image")</f>
      </c>
      <c r="B2885" s="0">
        <f>HYPERLINK("https://dl.dropboxusercontent.com/scl/fi/6l8v0to0x4tfmwms2n69a/womens-hoodie-and-sweatshirt-size-chartslittleton.jpg?rlkey=h4o3nxv0i68aprg82v3i5zwye&amp;dl=0","Click to download SizeChart")</f>
      </c>
      <c r="C2885" s="0" t="inlineStr">
        <is>
          <t>Littleton Women's Cowl Neck Pullover</t>
        </is>
      </c>
      <c r="D2885" s="1">
        <v>109180</v>
      </c>
      <c r="E2885" s="0" t="inlineStr">
        <is>
          <t>IOWA GOLD LITTLETON:109180A-S</t>
        </is>
      </c>
      <c r="F2885" s="2">
        <v>800109180012</v>
      </c>
      <c r="G2885" s="0" t="inlineStr">
        <is>
          <t>WOMENS</t>
        </is>
      </c>
      <c r="H2885" s="0" t="inlineStr">
        <is>
          <t>S</t>
        </is>
      </c>
      <c r="I2885" s="0">
        <v>39.99</v>
      </c>
      <c r="J2885" s="0">
        <v>4</v>
      </c>
    </row>
    <row r="2886" spans="1:10" customHeight="0">
      <c r="A2886" s="0">
        <f>HYPERLINK("https://dl.dropboxusercontent.com/scl/fi/v5m6jl9bik15a3qswx0v4/109180af.jpg?rlkey=r1ny059u9o4glat80mc8yjuis&amp;dl=0","Click to download Image")</f>
      </c>
      <c r="B2886" s="0">
        <f>HYPERLINK("https://dl.dropboxusercontent.com/scl/fi/6l8v0to0x4tfmwms2n69a/womens-hoodie-and-sweatshirt-size-chartslittleton.jpg?rlkey=h4o3nxv0i68aprg82v3i5zwye&amp;dl=0","Click to download SizeChart")</f>
      </c>
      <c r="C2886" s="0" t="inlineStr">
        <is>
          <t>Littleton Women's Cowl Neck Pullover</t>
        </is>
      </c>
      <c r="D2886" s="1">
        <v>109180</v>
      </c>
      <c r="E2886" s="0" t="inlineStr">
        <is>
          <t>IOWA GOLD LITTLETON:109180B-M</t>
        </is>
      </c>
      <c r="F2886" s="2">
        <v>800109180029</v>
      </c>
      <c r="G2886" s="0" t="inlineStr">
        <is>
          <t>WOMENS</t>
        </is>
      </c>
      <c r="H2886" s="0" t="inlineStr">
        <is>
          <t>M</t>
        </is>
      </c>
      <c r="I2886" s="0">
        <v>39.99</v>
      </c>
      <c r="J2886" s="0">
        <v>8</v>
      </c>
    </row>
    <row r="2887" spans="1:10" customHeight="0">
      <c r="A2887" s="0">
        <f>HYPERLINK("https://dl.dropboxusercontent.com/scl/fi/v5m6jl9bik15a3qswx0v4/109180af.jpg?rlkey=r1ny059u9o4glat80mc8yjuis&amp;dl=0","Click to download Image")</f>
      </c>
      <c r="B2887" s="0">
        <f>HYPERLINK("https://dl.dropboxusercontent.com/scl/fi/6l8v0to0x4tfmwms2n69a/womens-hoodie-and-sweatshirt-size-chartslittleton.jpg?rlkey=h4o3nxv0i68aprg82v3i5zwye&amp;dl=0","Click to download SizeChart")</f>
      </c>
      <c r="C2887" s="0" t="inlineStr">
        <is>
          <t>Littleton Women's Cowl Neck Pullover</t>
        </is>
      </c>
      <c r="D2887" s="1">
        <v>109180</v>
      </c>
      <c r="E2887" s="0" t="inlineStr">
        <is>
          <t>IOWA GOLD LITTLETON:109180C-L</t>
        </is>
      </c>
      <c r="F2887" s="2">
        <v>800109180036</v>
      </c>
      <c r="G2887" s="0" t="inlineStr">
        <is>
          <t>WOMENS</t>
        </is>
      </c>
      <c r="H2887" s="0" t="inlineStr">
        <is>
          <t>L</t>
        </is>
      </c>
      <c r="I2887" s="0">
        <v>39.99</v>
      </c>
      <c r="J2887" s="0">
        <v>8</v>
      </c>
    </row>
    <row r="2888" spans="1:10" customHeight="0">
      <c r="A2888" s="0">
        <f>HYPERLINK("https://dl.dropboxusercontent.com/scl/fi/v5m6jl9bik15a3qswx0v4/109180af.jpg?rlkey=r1ny059u9o4glat80mc8yjuis&amp;dl=0","Click to download Image")</f>
      </c>
      <c r="B2888" s="0">
        <f>HYPERLINK("https://dl.dropboxusercontent.com/scl/fi/6l8v0to0x4tfmwms2n69a/womens-hoodie-and-sweatshirt-size-chartslittleton.jpg?rlkey=h4o3nxv0i68aprg82v3i5zwye&amp;dl=0","Click to download SizeChart")</f>
      </c>
      <c r="C2888" s="0" t="inlineStr">
        <is>
          <t>Littleton Women's Cowl Neck Pullover</t>
        </is>
      </c>
      <c r="D2888" s="1">
        <v>109180</v>
      </c>
      <c r="E2888" s="0" t="inlineStr">
        <is>
          <t>IOWA GOLD LITTLETON:109180D-XL</t>
        </is>
      </c>
      <c r="F2888" s="2">
        <v>800109180043</v>
      </c>
      <c r="G2888" s="0" t="inlineStr">
        <is>
          <t>WOMENS</t>
        </is>
      </c>
      <c r="H2888" s="0" t="inlineStr">
        <is>
          <t>XL</t>
        </is>
      </c>
      <c r="I2888" s="0">
        <v>39.99</v>
      </c>
      <c r="J2888" s="0">
        <v>3</v>
      </c>
    </row>
    <row r="2889" spans="1:10" customHeight="0">
      <c r="A2889" s="0">
        <f>HYPERLINK("https://dl.dropboxusercontent.com/scl/fi/v5m6jl9bik15a3qswx0v4/109180af.jpg?rlkey=r1ny059u9o4glat80mc8yjuis&amp;dl=0","Click to download Image")</f>
      </c>
      <c r="B2889" s="0">
        <f>HYPERLINK("https://dl.dropboxusercontent.com/scl/fi/6l8v0to0x4tfmwms2n69a/womens-hoodie-and-sweatshirt-size-chartslittleton.jpg?rlkey=h4o3nxv0i68aprg82v3i5zwye&amp;dl=0","Click to download SizeChart")</f>
      </c>
      <c r="C2889" s="0" t="inlineStr">
        <is>
          <t>Littleton Women's Cowl Neck Pullover</t>
        </is>
      </c>
      <c r="D2889" s="1">
        <v>109180</v>
      </c>
      <c r="E2889" s="0" t="inlineStr">
        <is>
          <t>IOWA GOLD LITTLETON:109180E-2XL</t>
        </is>
      </c>
      <c r="F2889" s="2">
        <v>800109180050</v>
      </c>
      <c r="G2889" s="0" t="inlineStr">
        <is>
          <t>WOMENS</t>
        </is>
      </c>
      <c r="H2889" s="0" t="inlineStr">
        <is>
          <t>2XL</t>
        </is>
      </c>
      <c r="I2889" s="0">
        <v>41.99</v>
      </c>
      <c r="J2889" s="0">
        <v>1</v>
      </c>
    </row>
    <row r="2890" spans="1:10" customHeight="0">
      <c r="A2890" s="0">
        <f>HYPERLINK("https://dl.dropboxusercontent.com/scl/fi/v5m6jl9bik15a3qswx0v4/109180af.jpg?rlkey=r1ny059u9o4glat80mc8yjuis&amp;dl=0","Click to download Image")</f>
      </c>
      <c r="B2890" s="0">
        <f>HYPERLINK("https://dl.dropboxusercontent.com/scl/fi/6l8v0to0x4tfmwms2n69a/womens-hoodie-and-sweatshirt-size-chartslittleton.jpg?rlkey=h4o3nxv0i68aprg82v3i5zwye&amp;dl=0","Click to download SizeChart")</f>
      </c>
      <c r="C2890" s="0" t="inlineStr">
        <is>
          <t>Littleton Women's Cowl Neck Pullover</t>
        </is>
      </c>
      <c r="D2890" s="1">
        <v>109180</v>
      </c>
      <c r="E2890" s="0" t="inlineStr">
        <is>
          <t>IOWA GOLD LITTLETON:109180F-3XL</t>
        </is>
      </c>
      <c r="F2890" s="2">
        <v>800109180067</v>
      </c>
      <c r="G2890" s="0" t="inlineStr">
        <is>
          <t>WOMENS</t>
        </is>
      </c>
      <c r="H2890" s="0" t="inlineStr">
        <is>
          <t>3XL</t>
        </is>
      </c>
      <c r="I2890" s="0">
        <v>41.99</v>
      </c>
      <c r="J2890" s="0">
        <v>4</v>
      </c>
    </row>
    <row r="2891" spans="1:10" customHeight="0">
      <c r="A2891" s="0">
        <f>HYPERLINK("https://dl.dropboxusercontent.com/scl/fi/io63kdknm99jvuyevqvjc/109177af.jpg?rlkey=hyehj9uhbiea774jlz02vpeut&amp;dl=0","Click to download Image")</f>
      </c>
      <c r="B2891" s="0">
        <f>HYPERLINK("https://dl.dropboxusercontent.com/scl/fi/6l8v0to0x4tfmwms2n69a/womens-hoodie-and-sweatshirt-size-chartslittleton.jpg?rlkey=h4o3nxv0i68aprg82v3i5zwye&amp;dl=0","Click to download SizeChart")</f>
      </c>
      <c r="C2891" s="0" t="inlineStr">
        <is>
          <t>Littleton Women's Cowl Neck Pullover</t>
        </is>
      </c>
      <c r="D2891" s="1">
        <v>109177</v>
      </c>
      <c r="E2891" s="0" t="inlineStr">
        <is>
          <t>IOWA WHITE LITTLETON:109177A-S</t>
        </is>
      </c>
      <c r="F2891" s="2">
        <v>800109177012</v>
      </c>
      <c r="G2891" s="0" t="inlineStr">
        <is>
          <t>WOMENS</t>
        </is>
      </c>
      <c r="H2891" s="0" t="inlineStr">
        <is>
          <t>S</t>
        </is>
      </c>
      <c r="I2891" s="0">
        <v>39.99</v>
      </c>
      <c r="J2891" s="0">
        <v>10</v>
      </c>
    </row>
    <row r="2892" spans="1:10" customHeight="0">
      <c r="A2892" s="0">
        <f>HYPERLINK("https://dl.dropboxusercontent.com/scl/fi/io63kdknm99jvuyevqvjc/109177af.jpg?rlkey=hyehj9uhbiea774jlz02vpeut&amp;dl=0","Click to download Image")</f>
      </c>
      <c r="B2892" s="0">
        <f>HYPERLINK("https://dl.dropboxusercontent.com/scl/fi/6l8v0to0x4tfmwms2n69a/womens-hoodie-and-sweatshirt-size-chartslittleton.jpg?rlkey=h4o3nxv0i68aprg82v3i5zwye&amp;dl=0","Click to download SizeChart")</f>
      </c>
      <c r="C2892" s="0" t="inlineStr">
        <is>
          <t>Littleton Women's Cowl Neck Pullover</t>
        </is>
      </c>
      <c r="D2892" s="1">
        <v>109177</v>
      </c>
      <c r="E2892" s="0" t="inlineStr">
        <is>
          <t>IOWA WHITE LITTLETON:109177B-M</t>
        </is>
      </c>
      <c r="F2892" s="2">
        <v>800109177029</v>
      </c>
      <c r="G2892" s="0" t="inlineStr">
        <is>
          <t>WOMENS</t>
        </is>
      </c>
      <c r="H2892" s="0" t="inlineStr">
        <is>
          <t>M</t>
        </is>
      </c>
      <c r="I2892" s="0">
        <v>39.99</v>
      </c>
      <c r="J2892" s="0">
        <v>21</v>
      </c>
    </row>
    <row r="2893" spans="1:10" customHeight="0">
      <c r="A2893" s="0">
        <f>HYPERLINK("https://dl.dropboxusercontent.com/scl/fi/io63kdknm99jvuyevqvjc/109177af.jpg?rlkey=hyehj9uhbiea774jlz02vpeut&amp;dl=0","Click to download Image")</f>
      </c>
      <c r="B2893" s="0">
        <f>HYPERLINK("https://dl.dropboxusercontent.com/scl/fi/6l8v0to0x4tfmwms2n69a/womens-hoodie-and-sweatshirt-size-chartslittleton.jpg?rlkey=h4o3nxv0i68aprg82v3i5zwye&amp;dl=0","Click to download SizeChart")</f>
      </c>
      <c r="C2893" s="0" t="inlineStr">
        <is>
          <t>Littleton Women's Cowl Neck Pullover</t>
        </is>
      </c>
      <c r="D2893" s="1">
        <v>109177</v>
      </c>
      <c r="E2893" s="0" t="inlineStr">
        <is>
          <t>IOWA WHITE LITTLETON:109177C-L</t>
        </is>
      </c>
      <c r="F2893" s="2">
        <v>800109177036</v>
      </c>
      <c r="G2893" s="0" t="inlineStr">
        <is>
          <t>WOMENS</t>
        </is>
      </c>
      <c r="H2893" s="0" t="inlineStr">
        <is>
          <t>L</t>
        </is>
      </c>
      <c r="I2893" s="0">
        <v>39.99</v>
      </c>
      <c r="J2893" s="0">
        <v>18</v>
      </c>
    </row>
    <row r="2894" spans="1:10" customHeight="0">
      <c r="A2894" s="0">
        <f>HYPERLINK("https://dl.dropboxusercontent.com/scl/fi/io63kdknm99jvuyevqvjc/109177af.jpg?rlkey=hyehj9uhbiea774jlz02vpeut&amp;dl=0","Click to download Image")</f>
      </c>
      <c r="B2894" s="0">
        <f>HYPERLINK("https://dl.dropboxusercontent.com/scl/fi/6l8v0to0x4tfmwms2n69a/womens-hoodie-and-sweatshirt-size-chartslittleton.jpg?rlkey=h4o3nxv0i68aprg82v3i5zwye&amp;dl=0","Click to download SizeChart")</f>
      </c>
      <c r="C2894" s="0" t="inlineStr">
        <is>
          <t>Littleton Women's Cowl Neck Pullover</t>
        </is>
      </c>
      <c r="D2894" s="1">
        <v>109177</v>
      </c>
      <c r="E2894" s="0" t="inlineStr">
        <is>
          <t>IOWA WHITE LITTLETON:109177D-XL</t>
        </is>
      </c>
      <c r="F2894" s="2">
        <v>800109177043</v>
      </c>
      <c r="G2894" s="0" t="inlineStr">
        <is>
          <t>WOMENS</t>
        </is>
      </c>
      <c r="H2894" s="0" t="inlineStr">
        <is>
          <t>XL</t>
        </is>
      </c>
      <c r="I2894" s="0">
        <v>39.99</v>
      </c>
      <c r="J2894" s="0">
        <v>8</v>
      </c>
    </row>
    <row r="2895" spans="1:10" customHeight="0">
      <c r="A2895" s="0">
        <f>HYPERLINK("https://dl.dropboxusercontent.com/scl/fi/io63kdknm99jvuyevqvjc/109177af.jpg?rlkey=hyehj9uhbiea774jlz02vpeut&amp;dl=0","Click to download Image")</f>
      </c>
      <c r="B2895" s="0">
        <f>HYPERLINK("https://dl.dropboxusercontent.com/scl/fi/6l8v0to0x4tfmwms2n69a/womens-hoodie-and-sweatshirt-size-chartslittleton.jpg?rlkey=h4o3nxv0i68aprg82v3i5zwye&amp;dl=0","Click to download SizeChart")</f>
      </c>
      <c r="C2895" s="0" t="inlineStr">
        <is>
          <t>Littleton Women's Cowl Neck Pullover</t>
        </is>
      </c>
      <c r="D2895" s="1">
        <v>109177</v>
      </c>
      <c r="E2895" s="0" t="inlineStr">
        <is>
          <t>IOWA WHITE LITTLETON:109177E-2XL</t>
        </is>
      </c>
      <c r="F2895" s="2">
        <v>800109177050</v>
      </c>
      <c r="G2895" s="0" t="inlineStr">
        <is>
          <t>WOMENS</t>
        </is>
      </c>
      <c r="H2895" s="0" t="inlineStr">
        <is>
          <t>2XL</t>
        </is>
      </c>
      <c r="I2895" s="0">
        <v>41.99</v>
      </c>
      <c r="J2895" s="0">
        <v>0</v>
      </c>
    </row>
    <row r="2896" spans="1:10" customHeight="0">
      <c r="A2896" s="0">
        <f>HYPERLINK("https://dl.dropboxusercontent.com/scl/fi/io63kdknm99jvuyevqvjc/109177af.jpg?rlkey=hyehj9uhbiea774jlz02vpeut&amp;dl=0","Click to download Image")</f>
      </c>
      <c r="B2896" s="0">
        <f>HYPERLINK("https://dl.dropboxusercontent.com/scl/fi/6l8v0to0x4tfmwms2n69a/womens-hoodie-and-sweatshirt-size-chartslittleton.jpg?rlkey=h4o3nxv0i68aprg82v3i5zwye&amp;dl=0","Click to download SizeChart")</f>
      </c>
      <c r="C2896" s="0" t="inlineStr">
        <is>
          <t>Littleton Women's Cowl Neck Pullover</t>
        </is>
      </c>
      <c r="D2896" s="1">
        <v>109177</v>
      </c>
      <c r="E2896" s="0" t="inlineStr">
        <is>
          <t>IOWA WHITE LITTLETON:109177F-3XL</t>
        </is>
      </c>
      <c r="F2896" s="2">
        <v>800109177067</v>
      </c>
      <c r="G2896" s="0" t="inlineStr">
        <is>
          <t>WOMENS</t>
        </is>
      </c>
      <c r="H2896" s="0" t="inlineStr">
        <is>
          <t>3XL</t>
        </is>
      </c>
      <c r="I2896" s="0">
        <v>41.99</v>
      </c>
      <c r="J2896" s="0">
        <v>2</v>
      </c>
    </row>
    <row r="2897" spans="1:10" customHeight="0">
      <c r="A2897" s="0">
        <f>HYPERLINK("https://dl.dropboxusercontent.com/scl/fi/cc1ib3ltzl59pd8mpap4j/sundress-02.jpg?rlkey=9ec957pvfvh1itomkbu3780l8&amp;dl=0","Click to download Image")</f>
      </c>
      <c r="B2897" s="0">
        <f>HYPERLINK("https://dl.dropboxusercontent.com/scl/fi/dh7qe7ninovt1vuuvhhk4/size-chartsinfant-sundress-b.jpg?rlkey=be1mtgd7ovy9ek4uc7n4x5zm2&amp;dl=0","Click to download SizeChart")</f>
      </c>
      <c r="C2897" s="0" t="inlineStr">
        <is>
          <t>Ruffle Sundress Toddler</t>
        </is>
      </c>
      <c r="D2897" s="1">
        <v>95617</v>
      </c>
      <c r="E2897" s="0" t="inlineStr">
        <is>
          <t>SUN DRESS:95617E-3T</t>
        </is>
      </c>
      <c r="G2897" s="0" t="inlineStr">
        <is>
          <t>TODDLER</t>
        </is>
      </c>
      <c r="H2897" s="0" t="inlineStr">
        <is>
          <t>3T</t>
        </is>
      </c>
      <c r="I2897" s="0">
        <v>29.99</v>
      </c>
      <c r="J2897" s="0">
        <v>12</v>
      </c>
    </row>
    <row r="2898" spans="1:10" customHeight="0">
      <c r="A2898" s="0">
        <f>HYPERLINK("https://dl.dropboxusercontent.com/scl/fi/cc1ib3ltzl59pd8mpap4j/sundress-02.jpg?rlkey=9ec957pvfvh1itomkbu3780l8&amp;dl=0","Click to download Image")</f>
      </c>
      <c r="B2898" s="0">
        <f>HYPERLINK("https://dl.dropboxusercontent.com/scl/fi/dh7qe7ninovt1vuuvhhk4/size-chartsinfant-sundress-b.jpg?rlkey=be1mtgd7ovy9ek4uc7n4x5zm2&amp;dl=0","Click to download SizeChart")</f>
      </c>
      <c r="C2898" s="0" t="inlineStr">
        <is>
          <t>Ruffle Sundress Toddler</t>
        </is>
      </c>
      <c r="D2898" s="1">
        <v>95617</v>
      </c>
      <c r="E2898" s="0" t="inlineStr">
        <is>
          <t>SUN DRESS:95617F-4T</t>
        </is>
      </c>
      <c r="G2898" s="0" t="inlineStr">
        <is>
          <t>TODDLER</t>
        </is>
      </c>
      <c r="H2898" s="0" t="inlineStr">
        <is>
          <t>4T</t>
        </is>
      </c>
      <c r="I2898" s="0">
        <v>29.99</v>
      </c>
      <c r="J2898" s="0">
        <v>10</v>
      </c>
    </row>
    <row r="2899" spans="1:10" customHeight="0">
      <c r="A2899" s="0">
        <f>HYPERLINK("https://dl.dropboxusercontent.com/scl/fi/cc1ib3ltzl59pd8mpap4j/sundress-02.jpg?rlkey=9ec957pvfvh1itomkbu3780l8&amp;dl=0","Click to download Image")</f>
      </c>
      <c r="B2899" s="0">
        <f>HYPERLINK("https://dl.dropboxusercontent.com/scl/fi/dh7qe7ninovt1vuuvhhk4/size-chartsinfant-sundress-b.jpg?rlkey=be1mtgd7ovy9ek4uc7n4x5zm2&amp;dl=0","Click to download SizeChart")</f>
      </c>
      <c r="C2899" s="0" t="inlineStr">
        <is>
          <t>Ruffle Sundress Toddler</t>
        </is>
      </c>
      <c r="D2899" s="1">
        <v>95617</v>
      </c>
      <c r="E2899" s="0" t="inlineStr">
        <is>
          <t>SUN DRESS:95617G-5/6</t>
        </is>
      </c>
      <c r="G2899" s="0" t="inlineStr">
        <is>
          <t>TODDLER</t>
        </is>
      </c>
      <c r="H2899" s="0" t="inlineStr">
        <is>
          <t>5/6</t>
        </is>
      </c>
      <c r="I2899" s="0">
        <v>29.99</v>
      </c>
      <c r="J2899" s="0">
        <v>1</v>
      </c>
    </row>
    <row r="2900" spans="1:10" customHeight="0">
      <c r="A2900" s="0">
        <f>HYPERLINK("https://dl.dropboxusercontent.com/scl/fi/cc1ib3ltzl59pd8mpap4j/sundress-02.jpg?rlkey=9ec957pvfvh1itomkbu3780l8&amp;dl=0","Click to download Image")</f>
      </c>
      <c r="B2900" s="0">
        <f>HYPERLINK("https://dl.dropboxusercontent.com/scl/fi/dh7qe7ninovt1vuuvhhk4/size-chartsinfant-sundress-b.jpg?rlkey=be1mtgd7ovy9ek4uc7n4x5zm2&amp;dl=0","Click to download SizeChart")</f>
      </c>
      <c r="C2900" s="0" t="inlineStr">
        <is>
          <t>Ruffle Sundress Toddler</t>
        </is>
      </c>
      <c r="D2900" s="1">
        <v>95617</v>
      </c>
      <c r="E2900" s="0" t="inlineStr">
        <is>
          <t>SUN DRESS:95617H-6X</t>
        </is>
      </c>
      <c r="G2900" s="0" t="inlineStr">
        <is>
          <t>TODDLER</t>
        </is>
      </c>
      <c r="H2900" s="0" t="inlineStr">
        <is>
          <t>6X</t>
        </is>
      </c>
      <c r="I2900" s="0">
        <v>29.99</v>
      </c>
      <c r="J2900" s="0">
        <v>7</v>
      </c>
    </row>
    <row r="2901" spans="1:10" customHeight="0">
      <c r="A2901" s="0">
        <f>HYPERLINK("https://dl.dropboxusercontent.com/scl/fi/y27rc9vcbivatiu8t06hr/sundress-02.jpg?rlkey=57gk9xnqdz42nbzh5d5r8it9f&amp;dl=0","Click to download Image")</f>
      </c>
      <c r="B2901" s="0">
        <f>HYPERLINK("https://dl.dropboxusercontent.com/scl/fi/86gf00bdjbzdfifmb9a0c/size-chartsinfant-sundress-b.jpg?rlkey=wvjfs1ozllu9ieim8h4cfw2ax&amp;dl=0","Click to download SizeChart")</f>
      </c>
      <c r="C2901" s="0" t="inlineStr">
        <is>
          <t>Ruffle Sundress Infant</t>
        </is>
      </c>
      <c r="D2901" s="1">
        <v>95617</v>
      </c>
      <c r="E2901" s="0" t="inlineStr">
        <is>
          <t>SUN DRESS:95617A-6M</t>
        </is>
      </c>
      <c r="G2901" s="0" t="inlineStr">
        <is>
          <t>INFANT</t>
        </is>
      </c>
      <c r="H2901" s="0" t="inlineStr">
        <is>
          <t>6M</t>
        </is>
      </c>
      <c r="I2901" s="0">
        <v>29.99</v>
      </c>
      <c r="J2901" s="0">
        <v>29</v>
      </c>
    </row>
    <row r="2902" spans="1:10" customHeight="0">
      <c r="A2902" s="0">
        <f>HYPERLINK("https://dl.dropboxusercontent.com/scl/fi/y27rc9vcbivatiu8t06hr/sundress-02.jpg?rlkey=57gk9xnqdz42nbzh5d5r8it9f&amp;dl=0","Click to download Image")</f>
      </c>
      <c r="B2902" s="0">
        <f>HYPERLINK("https://dl.dropboxusercontent.com/scl/fi/86gf00bdjbzdfifmb9a0c/size-chartsinfant-sundress-b.jpg?rlkey=wvjfs1ozllu9ieim8h4cfw2ax&amp;dl=0","Click to download SizeChart")</f>
      </c>
      <c r="C2902" s="0" t="inlineStr">
        <is>
          <t>Ruffle Sundress Infant</t>
        </is>
      </c>
      <c r="D2902" s="1">
        <v>95617</v>
      </c>
      <c r="E2902" s="0" t="inlineStr">
        <is>
          <t>SUN DRESS:95617B-12M</t>
        </is>
      </c>
      <c r="G2902" s="0" t="inlineStr">
        <is>
          <t>INFANT</t>
        </is>
      </c>
      <c r="H2902" s="0" t="inlineStr">
        <is>
          <t>12M</t>
        </is>
      </c>
      <c r="I2902" s="0">
        <v>29.99</v>
      </c>
      <c r="J2902" s="0">
        <v>28</v>
      </c>
    </row>
    <row r="2903" spans="1:10" customHeight="0">
      <c r="A2903" s="0">
        <f>HYPERLINK("https://dl.dropboxusercontent.com/scl/fi/y27rc9vcbivatiu8t06hr/sundress-02.jpg?rlkey=57gk9xnqdz42nbzh5d5r8it9f&amp;dl=0","Click to download Image")</f>
      </c>
      <c r="B2903" s="0">
        <f>HYPERLINK("https://dl.dropboxusercontent.com/scl/fi/86gf00bdjbzdfifmb9a0c/size-chartsinfant-sundress-b.jpg?rlkey=wvjfs1ozllu9ieim8h4cfw2ax&amp;dl=0","Click to download SizeChart")</f>
      </c>
      <c r="C2903" s="0" t="inlineStr">
        <is>
          <t>Ruffle Sundress Infant</t>
        </is>
      </c>
      <c r="D2903" s="1">
        <v>95617</v>
      </c>
      <c r="E2903" s="0" t="inlineStr">
        <is>
          <t>SUN DRESS:95617C-18M</t>
        </is>
      </c>
      <c r="G2903" s="0" t="inlineStr">
        <is>
          <t>INFANT</t>
        </is>
      </c>
      <c r="H2903" s="0" t="inlineStr">
        <is>
          <t>18M</t>
        </is>
      </c>
      <c r="I2903" s="0">
        <v>29.99</v>
      </c>
      <c r="J2903" s="0">
        <v>4</v>
      </c>
    </row>
    <row r="2904" spans="1:10" customHeight="0">
      <c r="A2904" s="0">
        <f>HYPERLINK("https://dl.dropboxusercontent.com/scl/fi/y27rc9vcbivatiu8t06hr/sundress-02.jpg?rlkey=57gk9xnqdz42nbzh5d5r8it9f&amp;dl=0","Click to download Image")</f>
      </c>
      <c r="B2904" s="0">
        <f>HYPERLINK("https://dl.dropboxusercontent.com/scl/fi/86gf00bdjbzdfifmb9a0c/size-chartsinfant-sundress-b.jpg?rlkey=wvjfs1ozllu9ieim8h4cfw2ax&amp;dl=0","Click to download SizeChart")</f>
      </c>
      <c r="C2904" s="0" t="inlineStr">
        <is>
          <t>Ruffle Sundress Infant</t>
        </is>
      </c>
      <c r="D2904" s="1">
        <v>95617</v>
      </c>
      <c r="E2904" s="0" t="inlineStr">
        <is>
          <t>SUN DRESS:95617D-24M</t>
        </is>
      </c>
      <c r="G2904" s="0" t="inlineStr">
        <is>
          <t>INFANT</t>
        </is>
      </c>
      <c r="H2904" s="0" t="inlineStr">
        <is>
          <t>24M</t>
        </is>
      </c>
      <c r="I2904" s="0">
        <v>29.99</v>
      </c>
      <c r="J2904" s="0">
        <v>0</v>
      </c>
    </row>
    <row r="2905" spans="1:10" customHeight="0">
      <c r="A2905" s="0">
        <f>HYPERLINK("https://dl.dropboxusercontent.com/scl/fi/gocpus4cel1tf19zfd5ap/sue.jpg?rlkey=81il495qe8fuh8ts1f4v9i41l&amp;dl=0","Click to download Image")</f>
      </c>
      <c r="C2905" s="0" t="inlineStr">
        <is>
          <t>Sue Women's Laser Cut Cap</t>
        </is>
      </c>
      <c r="D2905" s="1">
        <v>101299</v>
      </c>
      <c r="E2905" s="0" t="inlineStr">
        <is>
          <t>SUE:101299</t>
        </is>
      </c>
      <c r="G2905" s="0" t="inlineStr">
        <is>
          <t>WOMENS</t>
        </is>
      </c>
      <c r="H2905" s="0" t="inlineStr">
        <is>
          <t>WOMENS</t>
        </is>
      </c>
      <c r="I2905" s="0">
        <v>24.99</v>
      </c>
      <c r="J2905" s="0">
        <v>78</v>
      </c>
    </row>
    <row r="2906" spans="1:10" customHeight="0">
      <c r="A2906" s="0">
        <f>HYPERLINK("https://dl.dropboxusercontent.com/scl/fi/xze480djkeahpnk10e6j4/stitch.jpg?rlkey=14va6gscx6oddbjwvo15jxfkw&amp;dl=0","Click to download Image")</f>
      </c>
      <c r="C2906" s="0" t="inlineStr">
        <is>
          <t>Stitch Diaper Bag</t>
        </is>
      </c>
      <c r="D2906" s="1">
        <v>91208</v>
      </c>
      <c r="E2906" s="0" t="inlineStr">
        <is>
          <t>STITCH:91208-DIA</t>
        </is>
      </c>
      <c r="I2906" s="0">
        <v>49.99</v>
      </c>
      <c r="J2906" s="0">
        <v>225</v>
      </c>
    </row>
    <row r="2907" spans="1:10" customHeight="0">
      <c r="A2907" s="0">
        <f>HYPERLINK("https://dl.dropboxusercontent.com/scl/fi/k3t826al3qq3tipzimm48/102944af74027.jpg?rlkey=gtiumar04v6uq080u9jqouiys&amp;dl=0","Click to download Image")</f>
      </c>
      <c r="B2907" s="0">
        <f>HYPERLINK("https://dl.dropboxusercontent.com/scl/fi/ku8ddoccdt5vvdcbh2xku/size-charts-toddler-shirt-a-1.jpg?rlkey=yurf7uqocp2ksw6cro6dv32pm&amp;dl=0","Click to download SizeChart")</f>
      </c>
      <c r="C2907" s="0" t="inlineStr">
        <is>
          <t>Kaleigh Toddler Swimsuit</t>
        </is>
      </c>
      <c r="D2907" s="1">
        <v>102944</v>
      </c>
      <c r="E2907" s="0" t="inlineStr">
        <is>
          <t>KALEIGH:102944 - 2T</t>
        </is>
      </c>
      <c r="F2907" s="2">
        <v>80010294400</v>
      </c>
      <c r="G2907" s="0" t="inlineStr">
        <is>
          <t>TODDLER</t>
        </is>
      </c>
      <c r="H2907" s="0" t="inlineStr">
        <is>
          <t>2T</t>
        </is>
      </c>
      <c r="I2907" s="0">
        <v>24.99</v>
      </c>
      <c r="J2907" s="0">
        <v>99</v>
      </c>
    </row>
    <row r="2908" spans="1:10" customHeight="0">
      <c r="A2908" s="0">
        <f>HYPERLINK("https://dl.dropboxusercontent.com/scl/fi/k3t826al3qq3tipzimm48/102944af74027.jpg?rlkey=gtiumar04v6uq080u9jqouiys&amp;dl=0","Click to download Image")</f>
      </c>
      <c r="B2908" s="0">
        <f>HYPERLINK("https://dl.dropboxusercontent.com/scl/fi/ku8ddoccdt5vvdcbh2xku/size-charts-toddler-shirt-a-1.jpg?rlkey=yurf7uqocp2ksw6cro6dv32pm&amp;dl=0","Click to download SizeChart")</f>
      </c>
      <c r="C2908" s="0" t="inlineStr">
        <is>
          <t>Kaleigh Toddler Swimsuit</t>
        </is>
      </c>
      <c r="D2908" s="1">
        <v>102944</v>
      </c>
      <c r="E2908" s="0" t="inlineStr">
        <is>
          <t>KALEIGH:102944 - 3T</t>
        </is>
      </c>
      <c r="F2908" s="2">
        <v>80010294401</v>
      </c>
      <c r="G2908" s="0" t="inlineStr">
        <is>
          <t>TODDLER</t>
        </is>
      </c>
      <c r="H2908" s="0" t="inlineStr">
        <is>
          <t>3T</t>
        </is>
      </c>
      <c r="I2908" s="0">
        <v>24.99</v>
      </c>
      <c r="J2908" s="0">
        <v>91</v>
      </c>
    </row>
    <row r="2909" spans="1:10" customHeight="0">
      <c r="A2909" s="0">
        <f>HYPERLINK("https://dl.dropboxusercontent.com/scl/fi/k3t826al3qq3tipzimm48/102944af74027.jpg?rlkey=gtiumar04v6uq080u9jqouiys&amp;dl=0","Click to download Image")</f>
      </c>
      <c r="B2909" s="0">
        <f>HYPERLINK("https://dl.dropboxusercontent.com/scl/fi/ku8ddoccdt5vvdcbh2xku/size-charts-toddler-shirt-a-1.jpg?rlkey=yurf7uqocp2ksw6cro6dv32pm&amp;dl=0","Click to download SizeChart")</f>
      </c>
      <c r="C2909" s="0" t="inlineStr">
        <is>
          <t>Kaleigh Toddler Swimsuit</t>
        </is>
      </c>
      <c r="D2909" s="1">
        <v>102944</v>
      </c>
      <c r="E2909" s="0" t="inlineStr">
        <is>
          <t>KALEIGH:102944 - 4T</t>
        </is>
      </c>
      <c r="F2909" s="2">
        <v>80010294402</v>
      </c>
      <c r="G2909" s="0" t="inlineStr">
        <is>
          <t>TODDLER</t>
        </is>
      </c>
      <c r="H2909" s="0" t="inlineStr">
        <is>
          <t>4T</t>
        </is>
      </c>
      <c r="I2909" s="0">
        <v>24.99</v>
      </c>
      <c r="J2909" s="0">
        <v>96</v>
      </c>
    </row>
    <row r="2910" spans="1:10" customHeight="0">
      <c r="A2910" s="0">
        <f>HYPERLINK("https://dl.dropboxusercontent.com/scl/fi/k3t826al3qq3tipzimm48/102944af74027.jpg?rlkey=gtiumar04v6uq080u9jqouiys&amp;dl=0","Click to download Image")</f>
      </c>
      <c r="B2910" s="0">
        <f>HYPERLINK("https://dl.dropboxusercontent.com/scl/fi/ku8ddoccdt5vvdcbh2xku/size-charts-toddler-shirt-a-1.jpg?rlkey=yurf7uqocp2ksw6cro6dv32pm&amp;dl=0","Click to download SizeChart")</f>
      </c>
      <c r="C2910" s="0" t="inlineStr">
        <is>
          <t>Kaleigh Toddler Swimsuit</t>
        </is>
      </c>
      <c r="D2910" s="1">
        <v>102944</v>
      </c>
      <c r="E2910" s="0" t="inlineStr">
        <is>
          <t>KALEIGH:102944 - 5T</t>
        </is>
      </c>
      <c r="F2910" s="2">
        <v>80010294403</v>
      </c>
      <c r="G2910" s="0" t="inlineStr">
        <is>
          <t>TODDLER</t>
        </is>
      </c>
      <c r="H2910" s="0" t="inlineStr">
        <is>
          <t>5T</t>
        </is>
      </c>
      <c r="I2910" s="0">
        <v>24.99</v>
      </c>
      <c r="J2910" s="0">
        <v>103</v>
      </c>
    </row>
    <row r="2911" spans="1:10" customHeight="0">
      <c r="A2911" s="0">
        <f>HYPERLINK("https://dl.dropboxusercontent.com/scl/fi/t7umc7w773te57w4rhcdf/steven-02.jpg?rlkey=ywf4hxecd3gusg5fr7y0p6b50&amp;dl=0","Click to download Image")</f>
      </c>
      <c r="B2911" s="0">
        <f>HYPERLINK("https://dl.dropboxusercontent.com/scl/fi/u6fqpw03yui58rdmorwtj/mens-d.jpg?rlkey=9cxe6tir3flxnuccowtymny9g&amp;dl=0","Click to download SizeChart")</f>
      </c>
      <c r="C2911" s="0" t="inlineStr">
        <is>
          <t>Steven Men's Shell Jacket</t>
        </is>
      </c>
      <c r="D2911" s="1">
        <v>95725</v>
      </c>
      <c r="E2911" s="0" t="inlineStr">
        <is>
          <t>STEVEN:95725A-S</t>
        </is>
      </c>
      <c r="G2911" s="0" t="inlineStr">
        <is>
          <t>MENS</t>
        </is>
      </c>
      <c r="H2911" s="0" t="inlineStr">
        <is>
          <t>S</t>
        </is>
      </c>
      <c r="I2911" s="0">
        <v>89.99</v>
      </c>
      <c r="J2911" s="0">
        <v>23</v>
      </c>
    </row>
    <row r="2912" spans="1:10" customHeight="0">
      <c r="A2912" s="0">
        <f>HYPERLINK("https://dl.dropboxusercontent.com/scl/fi/t7umc7w773te57w4rhcdf/steven-02.jpg?rlkey=ywf4hxecd3gusg5fr7y0p6b50&amp;dl=0","Click to download Image")</f>
      </c>
      <c r="B2912" s="0">
        <f>HYPERLINK("https://dl.dropboxusercontent.com/scl/fi/u6fqpw03yui58rdmorwtj/mens-d.jpg?rlkey=9cxe6tir3flxnuccowtymny9g&amp;dl=0","Click to download SizeChart")</f>
      </c>
      <c r="C2912" s="0" t="inlineStr">
        <is>
          <t>Steven Men's Shell Jacket</t>
        </is>
      </c>
      <c r="D2912" s="1">
        <v>95725</v>
      </c>
      <c r="E2912" s="0" t="inlineStr">
        <is>
          <t>STEVEN:95725B-M</t>
        </is>
      </c>
      <c r="G2912" s="0" t="inlineStr">
        <is>
          <t>MENS</t>
        </is>
      </c>
      <c r="H2912" s="0" t="inlineStr">
        <is>
          <t>M</t>
        </is>
      </c>
      <c r="I2912" s="0">
        <v>89.99</v>
      </c>
      <c r="J2912" s="0">
        <v>25</v>
      </c>
    </row>
    <row r="2913" spans="1:10" customHeight="0">
      <c r="A2913" s="0">
        <f>HYPERLINK("https://dl.dropboxusercontent.com/scl/fi/t7umc7w773te57w4rhcdf/steven-02.jpg?rlkey=ywf4hxecd3gusg5fr7y0p6b50&amp;dl=0","Click to download Image")</f>
      </c>
      <c r="B2913" s="0">
        <f>HYPERLINK("https://dl.dropboxusercontent.com/scl/fi/u6fqpw03yui58rdmorwtj/mens-d.jpg?rlkey=9cxe6tir3flxnuccowtymny9g&amp;dl=0","Click to download SizeChart")</f>
      </c>
      <c r="C2913" s="0" t="inlineStr">
        <is>
          <t>Steven Men's Shell Jacket</t>
        </is>
      </c>
      <c r="D2913" s="1">
        <v>95725</v>
      </c>
      <c r="E2913" s="0" t="inlineStr">
        <is>
          <t>STEVEN:95725C-L</t>
        </is>
      </c>
      <c r="G2913" s="0" t="inlineStr">
        <is>
          <t>MENS</t>
        </is>
      </c>
      <c r="H2913" s="0" t="inlineStr">
        <is>
          <t>L</t>
        </is>
      </c>
      <c r="I2913" s="0">
        <v>89.99</v>
      </c>
      <c r="J2913" s="0">
        <v>77</v>
      </c>
    </row>
    <row r="2914" spans="1:10" customHeight="0">
      <c r="A2914" s="0">
        <f>HYPERLINK("https://dl.dropboxusercontent.com/scl/fi/t7umc7w773te57w4rhcdf/steven-02.jpg?rlkey=ywf4hxecd3gusg5fr7y0p6b50&amp;dl=0","Click to download Image")</f>
      </c>
      <c r="B2914" s="0">
        <f>HYPERLINK("https://dl.dropboxusercontent.com/scl/fi/u6fqpw03yui58rdmorwtj/mens-d.jpg?rlkey=9cxe6tir3flxnuccowtymny9g&amp;dl=0","Click to download SizeChart")</f>
      </c>
      <c r="C2914" s="0" t="inlineStr">
        <is>
          <t>Steven Men's Shell Jacket</t>
        </is>
      </c>
      <c r="D2914" s="1">
        <v>95725</v>
      </c>
      <c r="E2914" s="0" t="inlineStr">
        <is>
          <t>STEVEN:95725D-XL</t>
        </is>
      </c>
      <c r="G2914" s="0" t="inlineStr">
        <is>
          <t>MENS</t>
        </is>
      </c>
      <c r="H2914" s="0" t="inlineStr">
        <is>
          <t>XL</t>
        </is>
      </c>
      <c r="I2914" s="0">
        <v>89.99</v>
      </c>
      <c r="J2914" s="0">
        <v>79</v>
      </c>
    </row>
    <row r="2915" spans="1:10" customHeight="0">
      <c r="A2915" s="0">
        <f>HYPERLINK("https://dl.dropboxusercontent.com/scl/fi/t7umc7w773te57w4rhcdf/steven-02.jpg?rlkey=ywf4hxecd3gusg5fr7y0p6b50&amp;dl=0","Click to download Image")</f>
      </c>
      <c r="B2915" s="0">
        <f>HYPERLINK("https://dl.dropboxusercontent.com/scl/fi/u6fqpw03yui58rdmorwtj/mens-d.jpg?rlkey=9cxe6tir3flxnuccowtymny9g&amp;dl=0","Click to download SizeChart")</f>
      </c>
      <c r="C2915" s="0" t="inlineStr">
        <is>
          <t>Steven Men's Shell Jacket</t>
        </is>
      </c>
      <c r="D2915" s="1">
        <v>95725</v>
      </c>
      <c r="E2915" s="0" t="inlineStr">
        <is>
          <t>STEVEN:95725E-2X</t>
        </is>
      </c>
      <c r="G2915" s="0" t="inlineStr">
        <is>
          <t>MENS</t>
        </is>
      </c>
      <c r="H2915" s="0" t="inlineStr">
        <is>
          <t>2XL</t>
        </is>
      </c>
      <c r="I2915" s="0">
        <v>91.99</v>
      </c>
      <c r="J2915" s="0">
        <v>49</v>
      </c>
    </row>
    <row r="2916" spans="1:10" customHeight="0">
      <c r="A2916" s="0">
        <f>HYPERLINK("https://dl.dropboxusercontent.com/scl/fi/t7umc7w773te57w4rhcdf/steven-02.jpg?rlkey=ywf4hxecd3gusg5fr7y0p6b50&amp;dl=0","Click to download Image")</f>
      </c>
      <c r="B2916" s="0">
        <f>HYPERLINK("https://dl.dropboxusercontent.com/scl/fi/u6fqpw03yui58rdmorwtj/mens-d.jpg?rlkey=9cxe6tir3flxnuccowtymny9g&amp;dl=0","Click to download SizeChart")</f>
      </c>
      <c r="C2916" s="0" t="inlineStr">
        <is>
          <t>Steven Men's Shell Jacket</t>
        </is>
      </c>
      <c r="D2916" s="1">
        <v>95725</v>
      </c>
      <c r="E2916" s="0" t="inlineStr">
        <is>
          <t>STEVEN:95725F-3X</t>
        </is>
      </c>
      <c r="G2916" s="0" t="inlineStr">
        <is>
          <t>MENS</t>
        </is>
      </c>
      <c r="H2916" s="0" t="inlineStr">
        <is>
          <t>3XL</t>
        </is>
      </c>
      <c r="I2916" s="0">
        <v>91.99</v>
      </c>
      <c r="J2916" s="0">
        <v>14</v>
      </c>
    </row>
    <row r="2917" spans="1:10" customHeight="0">
      <c r="A2917" s="0">
        <f>HYPERLINK("https://dl.dropboxusercontent.com/scl/fi/jnd9fn4fzw5ebh6wdrkl0/dsc0101.jpg?rlkey=u3jmk59ro7npv8slulmncz5vi&amp;dl=0","Click to download Image")</f>
      </c>
      <c r="B2917" s="0">
        <f>HYPERLINK("https://dl.dropboxusercontent.com/scl/fi/dp7aixgdoydq3aamntdxi/graphic-update22022-youth.jpg?rlkey=ll1i0go8wackknrvgdffxz6ci&amp;dl=0","Click to download SizeChart")</f>
      </c>
      <c r="C2917" s="0" t="inlineStr">
        <is>
          <t>McDowell Youth T-Shirt</t>
        </is>
      </c>
      <c r="D2917" s="1">
        <v>103258</v>
      </c>
      <c r="E2917" s="0" t="inlineStr">
        <is>
          <t>MCDOWELL:103258A-YS</t>
        </is>
      </c>
      <c r="G2917" s="0" t="inlineStr">
        <is>
          <t>YOUTH</t>
        </is>
      </c>
      <c r="H2917" s="0" t="inlineStr">
        <is>
          <t>YS</t>
        </is>
      </c>
      <c r="I2917" s="0">
        <v>29.99</v>
      </c>
      <c r="J2917" s="0">
        <v>4</v>
      </c>
    </row>
    <row r="2918" spans="1:10" customHeight="0">
      <c r="A2918" s="0">
        <f>HYPERLINK("https://dl.dropboxusercontent.com/scl/fi/jnd9fn4fzw5ebh6wdrkl0/dsc0101.jpg?rlkey=u3jmk59ro7npv8slulmncz5vi&amp;dl=0","Click to download Image")</f>
      </c>
      <c r="B2918" s="0">
        <f>HYPERLINK("https://dl.dropboxusercontent.com/scl/fi/dp7aixgdoydq3aamntdxi/graphic-update22022-youth.jpg?rlkey=ll1i0go8wackknrvgdffxz6ci&amp;dl=0","Click to download SizeChart")</f>
      </c>
      <c r="C2918" s="0" t="inlineStr">
        <is>
          <t>McDowell Youth T-Shirt</t>
        </is>
      </c>
      <c r="D2918" s="1">
        <v>103258</v>
      </c>
      <c r="E2918" s="0" t="inlineStr">
        <is>
          <t>MCDOWELL:103258B-YM</t>
        </is>
      </c>
      <c r="G2918" s="0" t="inlineStr">
        <is>
          <t>YOUTH</t>
        </is>
      </c>
      <c r="H2918" s="0" t="inlineStr">
        <is>
          <t>YM</t>
        </is>
      </c>
      <c r="I2918" s="0">
        <v>29.99</v>
      </c>
      <c r="J2918" s="0">
        <v>0</v>
      </c>
    </row>
    <row r="2919" spans="1:10" customHeight="0">
      <c r="A2919" s="0">
        <f>HYPERLINK("https://dl.dropboxusercontent.com/scl/fi/jnd9fn4fzw5ebh6wdrkl0/dsc0101.jpg?rlkey=u3jmk59ro7npv8slulmncz5vi&amp;dl=0","Click to download Image")</f>
      </c>
      <c r="B2919" s="0">
        <f>HYPERLINK("https://dl.dropboxusercontent.com/scl/fi/dp7aixgdoydq3aamntdxi/graphic-update22022-youth.jpg?rlkey=ll1i0go8wackknrvgdffxz6ci&amp;dl=0","Click to download SizeChart")</f>
      </c>
      <c r="C2919" s="0" t="inlineStr">
        <is>
          <t>McDowell Youth T-Shirt</t>
        </is>
      </c>
      <c r="D2919" s="1">
        <v>103258</v>
      </c>
      <c r="E2919" s="0" t="inlineStr">
        <is>
          <t>MCDOWELL:103258C-YL</t>
        </is>
      </c>
      <c r="G2919" s="0" t="inlineStr">
        <is>
          <t>YOUTH</t>
        </is>
      </c>
      <c r="H2919" s="0" t="inlineStr">
        <is>
          <t>YL</t>
        </is>
      </c>
      <c r="I2919" s="0">
        <v>29.99</v>
      </c>
      <c r="J2919" s="0">
        <v>38</v>
      </c>
    </row>
    <row r="2920" spans="1:10" customHeight="0">
      <c r="A2920" s="0">
        <f>HYPERLINK("https://dl.dropboxusercontent.com/scl/fi/jnd9fn4fzw5ebh6wdrkl0/dsc0101.jpg?rlkey=u3jmk59ro7npv8slulmncz5vi&amp;dl=0","Click to download Image")</f>
      </c>
      <c r="B2920" s="0">
        <f>HYPERLINK("https://dl.dropboxusercontent.com/scl/fi/dp7aixgdoydq3aamntdxi/graphic-update22022-youth.jpg?rlkey=ll1i0go8wackknrvgdffxz6ci&amp;dl=0","Click to download SizeChart")</f>
      </c>
      <c r="C2920" s="0" t="inlineStr">
        <is>
          <t>McDowell Youth T-Shirt</t>
        </is>
      </c>
      <c r="D2920" s="1">
        <v>103258</v>
      </c>
      <c r="E2920" s="0" t="inlineStr">
        <is>
          <t>MCDOWELL:103258D-YXL</t>
        </is>
      </c>
      <c r="G2920" s="0" t="inlineStr">
        <is>
          <t>YOUTH</t>
        </is>
      </c>
      <c r="H2920" s="0" t="inlineStr">
        <is>
          <t>YXL</t>
        </is>
      </c>
      <c r="I2920" s="0">
        <v>29.99</v>
      </c>
      <c r="J2920" s="0">
        <v>67</v>
      </c>
    </row>
    <row r="2921" spans="1:10" customHeight="0">
      <c r="A2921" s="0">
        <f>HYPERLINK("https://dl.dropboxusercontent.com/scl/fi/b9fw22ch4an7im0jbqfpx/98402-af.jpg?rlkey=y75dk4mkn73eyit9ifoskk2i9&amp;dl=0","Click to download Image")</f>
      </c>
      <c r="B2921" s="0">
        <f>HYPERLINK("https://dl.dropboxusercontent.com/scl/fi/rx5652yyh4tvjs3lu601b/ladies-b.jpg?rlkey=rqn5x15629uemuoxl69tq1wba&amp;dl=0","Click to download SizeChart")</f>
      </c>
      <c r="C2921" s="0" t="inlineStr">
        <is>
          <t>Stephanie Women's Fleece Sweatshirt</t>
        </is>
      </c>
      <c r="D2921" s="1">
        <v>98402</v>
      </c>
      <c r="E2921" s="0" t="inlineStr">
        <is>
          <t>STEPHANIE:98402A-S</t>
        </is>
      </c>
      <c r="G2921" s="0" t="inlineStr">
        <is>
          <t>WOMENS</t>
        </is>
      </c>
      <c r="H2921" s="0" t="inlineStr">
        <is>
          <t>S</t>
        </is>
      </c>
      <c r="I2921" s="0">
        <v>49.99</v>
      </c>
      <c r="J2921" s="0">
        <v>19</v>
      </c>
    </row>
    <row r="2922" spans="1:10" customHeight="0">
      <c r="A2922" s="0">
        <f>HYPERLINK("https://dl.dropboxusercontent.com/scl/fi/b9fw22ch4an7im0jbqfpx/98402-af.jpg?rlkey=y75dk4mkn73eyit9ifoskk2i9&amp;dl=0","Click to download Image")</f>
      </c>
      <c r="B2922" s="0">
        <f>HYPERLINK("https://dl.dropboxusercontent.com/scl/fi/rx5652yyh4tvjs3lu601b/ladies-b.jpg?rlkey=rqn5x15629uemuoxl69tq1wba&amp;dl=0","Click to download SizeChart")</f>
      </c>
      <c r="C2922" s="0" t="inlineStr">
        <is>
          <t>Stephanie Women's Fleece Sweatshirt</t>
        </is>
      </c>
      <c r="D2922" s="1">
        <v>98402</v>
      </c>
      <c r="E2922" s="0" t="inlineStr">
        <is>
          <t>STEPHANIE:98402B-M</t>
        </is>
      </c>
      <c r="G2922" s="0" t="inlineStr">
        <is>
          <t>WOMENS</t>
        </is>
      </c>
      <c r="H2922" s="0" t="inlineStr">
        <is>
          <t>M</t>
        </is>
      </c>
      <c r="I2922" s="0">
        <v>49.99</v>
      </c>
      <c r="J2922" s="0">
        <v>4</v>
      </c>
    </row>
    <row r="2923" spans="1:10" customHeight="0">
      <c r="A2923" s="0">
        <f>HYPERLINK("https://dl.dropboxusercontent.com/scl/fi/b9fw22ch4an7im0jbqfpx/98402-af.jpg?rlkey=y75dk4mkn73eyit9ifoskk2i9&amp;dl=0","Click to download Image")</f>
      </c>
      <c r="B2923" s="0">
        <f>HYPERLINK("https://dl.dropboxusercontent.com/scl/fi/rx5652yyh4tvjs3lu601b/ladies-b.jpg?rlkey=rqn5x15629uemuoxl69tq1wba&amp;dl=0","Click to download SizeChart")</f>
      </c>
      <c r="C2923" s="0" t="inlineStr">
        <is>
          <t>Stephanie Women's Fleece Sweatshirt</t>
        </is>
      </c>
      <c r="D2923" s="1">
        <v>98402</v>
      </c>
      <c r="E2923" s="0" t="inlineStr">
        <is>
          <t>STEPHANIE:98402D-XL</t>
        </is>
      </c>
      <c r="G2923" s="0" t="inlineStr">
        <is>
          <t>WOMENS</t>
        </is>
      </c>
      <c r="H2923" s="0" t="inlineStr">
        <is>
          <t>XL</t>
        </is>
      </c>
      <c r="I2923" s="0">
        <v>49.99</v>
      </c>
      <c r="J2923" s="0">
        <v>14</v>
      </c>
    </row>
    <row r="2924" spans="1:10" customHeight="0">
      <c r="A2924" s="0">
        <f>HYPERLINK("https://dl.dropboxusercontent.com/scl/fi/b9fw22ch4an7im0jbqfpx/98402-af.jpg?rlkey=y75dk4mkn73eyit9ifoskk2i9&amp;dl=0","Click to download Image")</f>
      </c>
      <c r="B2924" s="0">
        <f>HYPERLINK("https://dl.dropboxusercontent.com/scl/fi/rx5652yyh4tvjs3lu601b/ladies-b.jpg?rlkey=rqn5x15629uemuoxl69tq1wba&amp;dl=0","Click to download SizeChart")</f>
      </c>
      <c r="C2924" s="0" t="inlineStr">
        <is>
          <t>Stephanie Women's Fleece Sweatshirt</t>
        </is>
      </c>
      <c r="D2924" s="1">
        <v>98402</v>
      </c>
      <c r="E2924" s="0" t="inlineStr">
        <is>
          <t>STEPHANIE:98402E-2XL</t>
        </is>
      </c>
      <c r="G2924" s="0" t="inlineStr">
        <is>
          <t>WOMENS</t>
        </is>
      </c>
      <c r="H2924" s="0" t="inlineStr">
        <is>
          <t>2XL</t>
        </is>
      </c>
      <c r="I2924" s="0">
        <v>51.99</v>
      </c>
      <c r="J2924" s="0">
        <v>14</v>
      </c>
    </row>
    <row r="2925" spans="1:10" customHeight="0">
      <c r="A2925" s="0">
        <f>HYPERLINK("https://dl.dropboxusercontent.com/scl/fi/qjfl4yyita3qgx103he3s/103185af.jpg?rlkey=2tvtql0ymnoor0ydp0cohd9zb&amp;dl=0","Click to download Image")</f>
      </c>
      <c r="B2925" s="0">
        <f>HYPERLINK("https://dl.dropboxusercontent.com/scl/fi/9zbsnvlqpkhap2rw0qoxj/graphic-update22022-youth.jpg?rlkey=cgstkigfja8p0ca6p8k95erxw&amp;dl=0","Click to download SizeChart")</f>
      </c>
      <c r="C2925" s="0" t="inlineStr">
        <is>
          <t>Parker Youth Baseball T-Shirt</t>
        </is>
      </c>
      <c r="D2925" s="1">
        <v>103185</v>
      </c>
      <c r="E2925" s="0" t="inlineStr">
        <is>
          <t>PARKER:103185A-YS</t>
        </is>
      </c>
      <c r="G2925" s="0" t="inlineStr">
        <is>
          <t>YOUTH</t>
        </is>
      </c>
      <c r="H2925" s="0" t="inlineStr">
        <is>
          <t>YS</t>
        </is>
      </c>
      <c r="I2925" s="0">
        <v>29.99</v>
      </c>
      <c r="J2925" s="0">
        <v>107</v>
      </c>
    </row>
    <row r="2926" spans="1:10" customHeight="0">
      <c r="A2926" s="0">
        <f>HYPERLINK("https://dl.dropboxusercontent.com/scl/fi/qjfl4yyita3qgx103he3s/103185af.jpg?rlkey=2tvtql0ymnoor0ydp0cohd9zb&amp;dl=0","Click to download Image")</f>
      </c>
      <c r="B2926" s="0">
        <f>HYPERLINK("https://dl.dropboxusercontent.com/scl/fi/9zbsnvlqpkhap2rw0qoxj/graphic-update22022-youth.jpg?rlkey=cgstkigfja8p0ca6p8k95erxw&amp;dl=0","Click to download SizeChart")</f>
      </c>
      <c r="C2926" s="0" t="inlineStr">
        <is>
          <t>Parker Youth Baseball T-Shirt</t>
        </is>
      </c>
      <c r="D2926" s="1">
        <v>103185</v>
      </c>
      <c r="E2926" s="0" t="inlineStr">
        <is>
          <t>PARKER:103185B-YM</t>
        </is>
      </c>
      <c r="G2926" s="0" t="inlineStr">
        <is>
          <t>YOUTH</t>
        </is>
      </c>
      <c r="H2926" s="0" t="inlineStr">
        <is>
          <t>YM</t>
        </is>
      </c>
      <c r="I2926" s="0">
        <v>29.99</v>
      </c>
      <c r="J2926" s="0">
        <v>96</v>
      </c>
    </row>
    <row r="2927" spans="1:10" customHeight="0">
      <c r="A2927" s="0">
        <f>HYPERLINK("https://dl.dropboxusercontent.com/scl/fi/qjfl4yyita3qgx103he3s/103185af.jpg?rlkey=2tvtql0ymnoor0ydp0cohd9zb&amp;dl=0","Click to download Image")</f>
      </c>
      <c r="B2927" s="0">
        <f>HYPERLINK("https://dl.dropboxusercontent.com/scl/fi/9zbsnvlqpkhap2rw0qoxj/graphic-update22022-youth.jpg?rlkey=cgstkigfja8p0ca6p8k95erxw&amp;dl=0","Click to download SizeChart")</f>
      </c>
      <c r="C2927" s="0" t="inlineStr">
        <is>
          <t>Parker Youth Baseball T-Shirt</t>
        </is>
      </c>
      <c r="D2927" s="1">
        <v>103185</v>
      </c>
      <c r="E2927" s="0" t="inlineStr">
        <is>
          <t>PARKER:103185C-YL</t>
        </is>
      </c>
      <c r="G2927" s="0" t="inlineStr">
        <is>
          <t>YOUTH</t>
        </is>
      </c>
      <c r="H2927" s="0" t="inlineStr">
        <is>
          <t>YL</t>
        </is>
      </c>
      <c r="I2927" s="0">
        <v>29.99</v>
      </c>
      <c r="J2927" s="0">
        <v>88</v>
      </c>
    </row>
    <row r="2928" spans="1:10" customHeight="0">
      <c r="A2928" s="0">
        <f>HYPERLINK("https://dl.dropboxusercontent.com/scl/fi/qjfl4yyita3qgx103he3s/103185af.jpg?rlkey=2tvtql0ymnoor0ydp0cohd9zb&amp;dl=0","Click to download Image")</f>
      </c>
      <c r="B2928" s="0">
        <f>HYPERLINK("https://dl.dropboxusercontent.com/scl/fi/9zbsnvlqpkhap2rw0qoxj/graphic-update22022-youth.jpg?rlkey=cgstkigfja8p0ca6p8k95erxw&amp;dl=0","Click to download SizeChart")</f>
      </c>
      <c r="C2928" s="0" t="inlineStr">
        <is>
          <t>Parker Youth Baseball T-Shirt</t>
        </is>
      </c>
      <c r="D2928" s="1">
        <v>103185</v>
      </c>
      <c r="E2928" s="0" t="inlineStr">
        <is>
          <t>PARKER:103185D-YXL</t>
        </is>
      </c>
      <c r="G2928" s="0" t="inlineStr">
        <is>
          <t>YOUTH</t>
        </is>
      </c>
      <c r="H2928" s="0" t="inlineStr">
        <is>
          <t>YXL</t>
        </is>
      </c>
      <c r="I2928" s="0">
        <v>29.99</v>
      </c>
      <c r="J2928" s="0">
        <v>105</v>
      </c>
    </row>
    <row r="2929" spans="1:10" customHeight="0">
      <c r="A2929" s="0">
        <f>HYPERLINK("https://dl.dropboxusercontent.com/scl/fi/obeqbdpl0vdf7nm4ea2g5/103041-af.jpg?rlkey=hhffz26nnsh107z38y1wty2zh&amp;dl=0","Click to download Image")</f>
      </c>
      <c r="C2929" s="0" t="inlineStr">
        <is>
          <t>Middleton Youth Cap</t>
        </is>
      </c>
      <c r="D2929" s="1">
        <v>103041</v>
      </c>
      <c r="E2929" s="0" t="inlineStr">
        <is>
          <t>MIDDLETON:103041</t>
        </is>
      </c>
      <c r="G2929" s="0" t="inlineStr">
        <is>
          <t>YOUTH</t>
        </is>
      </c>
      <c r="H2929" s="0" t="inlineStr">
        <is>
          <t>YOUTH</t>
        </is>
      </c>
      <c r="I2929" s="0">
        <v>18.99</v>
      </c>
      <c r="J2929" s="0">
        <v>15</v>
      </c>
    </row>
    <row r="2930" spans="1:10" customHeight="0">
      <c r="A2930" s="0">
        <f>HYPERLINK("https://dl.dropboxusercontent.com/scl/fi/1r7shs3fee5egrbkyoca9/103041-af.jpg?rlkey=a6417jxao1bgr9b3u8pw8lu3y&amp;dl=0","Click to download Image")</f>
      </c>
      <c r="C2930" s="0" t="inlineStr">
        <is>
          <t>Middleton Toddler Cap</t>
        </is>
      </c>
      <c r="D2930" s="1">
        <v>104522</v>
      </c>
      <c r="E2930" s="0" t="inlineStr">
        <is>
          <t>MIDDLETON:104522</t>
        </is>
      </c>
      <c r="G2930" s="0" t="inlineStr">
        <is>
          <t>TODDLER</t>
        </is>
      </c>
      <c r="H2930" s="0" t="inlineStr">
        <is>
          <t>TODDLER</t>
        </is>
      </c>
      <c r="I2930" s="0">
        <v>18.99</v>
      </c>
      <c r="J2930" s="0">
        <v>105</v>
      </c>
    </row>
    <row r="2931" spans="1:10" customHeight="0">
      <c r="A2931" s="0">
        <f>HYPERLINK("https://dl.dropboxusercontent.com/scl/fi/otmb7y8nsuwrbalv4j5wn/103850-af.jpg?rlkey=ywn083cd2q86zm7tbxyd0xmlf&amp;dl=0","Click to download Image")</f>
      </c>
      <c r="C2931" s="0" t="inlineStr">
        <is>
          <t>Briggs Youth Cap</t>
        </is>
      </c>
      <c r="D2931" s="1">
        <v>103850</v>
      </c>
      <c r="E2931" s="0" t="inlineStr">
        <is>
          <t>BRIGGS:103850</t>
        </is>
      </c>
      <c r="G2931" s="0" t="inlineStr">
        <is>
          <t>YOUTH</t>
        </is>
      </c>
      <c r="H2931" s="0" t="inlineStr">
        <is>
          <t>YOUTH</t>
        </is>
      </c>
      <c r="I2931" s="0">
        <v>19.99</v>
      </c>
      <c r="J2931" s="0">
        <v>50</v>
      </c>
    </row>
    <row r="2932" spans="1:10" customHeight="0">
      <c r="A2932" s="0">
        <f>HYPERLINK("https://dl.dropboxusercontent.com/scl/fi/iqxs49pk71cuo0tr9u3ga/103850-af.jpg?rlkey=kecymz5izjm7nckq8747s9asv&amp;dl=0","Click to download Image")</f>
      </c>
      <c r="C2932" s="0" t="inlineStr">
        <is>
          <t>Briggs Toddler Cap</t>
        </is>
      </c>
      <c r="D2932" s="1">
        <v>104523</v>
      </c>
      <c r="E2932" s="0" t="inlineStr">
        <is>
          <t>BRIGGS:104523</t>
        </is>
      </c>
      <c r="G2932" s="0" t="inlineStr">
        <is>
          <t>TODDLER</t>
        </is>
      </c>
      <c r="H2932" s="0" t="inlineStr">
        <is>
          <t>TODDLER</t>
        </is>
      </c>
      <c r="I2932" s="0">
        <v>19.99</v>
      </c>
      <c r="J2932" s="0">
        <v>47</v>
      </c>
    </row>
    <row r="2933" spans="1:10" customHeight="0">
      <c r="A2933" s="0">
        <f>HYPERLINK("https://dl.dropboxusercontent.com/scl/fi/nf4shqs0oze8s5e0y3tn7/split-sweatshirt.jpg?rlkey=en4d2tczdu25o16msx86d0f8y&amp;dl=0","Click to download Image")</f>
      </c>
      <c r="B2933" s="0">
        <f>HYPERLINK("https://dl.dropboxusercontent.com/scl/fi/xajn6ppd9e8z0a4h8n5s3/ladies-a.jpg?rlkey=k0yrxi3eab25sb6t8kdcvx6tk&amp;dl=0","Click to download SizeChart")</f>
      </c>
      <c r="C2933" s="0" t="inlineStr">
        <is>
          <t>Split Women's Sweatshirt</t>
        </is>
      </c>
      <c r="D2933" s="1">
        <v>94443</v>
      </c>
      <c r="E2933" s="0" t="inlineStr">
        <is>
          <t>SPLIT:94443B - M</t>
        </is>
      </c>
      <c r="G2933" s="0" t="inlineStr">
        <is>
          <t>WOMENS</t>
        </is>
      </c>
      <c r="H2933" s="0" t="inlineStr">
        <is>
          <t>M</t>
        </is>
      </c>
      <c r="I2933" s="0">
        <v>44.99</v>
      </c>
      <c r="J2933" s="0">
        <v>1</v>
      </c>
    </row>
    <row r="2934" spans="1:10" customHeight="0">
      <c r="A2934" s="0">
        <f>HYPERLINK("https://dl.dropboxusercontent.com/scl/fi/nf4shqs0oze8s5e0y3tn7/split-sweatshirt.jpg?rlkey=en4d2tczdu25o16msx86d0f8y&amp;dl=0","Click to download Image")</f>
      </c>
      <c r="B2934" s="0">
        <f>HYPERLINK("https://dl.dropboxusercontent.com/scl/fi/xajn6ppd9e8z0a4h8n5s3/ladies-a.jpg?rlkey=k0yrxi3eab25sb6t8kdcvx6tk&amp;dl=0","Click to download SizeChart")</f>
      </c>
      <c r="C2934" s="0" t="inlineStr">
        <is>
          <t>Split Women's Sweatshirt</t>
        </is>
      </c>
      <c r="D2934" s="1">
        <v>94443</v>
      </c>
      <c r="E2934" s="0" t="inlineStr">
        <is>
          <t>SPLIT:94443C - L</t>
        </is>
      </c>
      <c r="G2934" s="0" t="inlineStr">
        <is>
          <t>WOMENS</t>
        </is>
      </c>
      <c r="H2934" s="0" t="inlineStr">
        <is>
          <t>L</t>
        </is>
      </c>
      <c r="I2934" s="0">
        <v>44.99</v>
      </c>
      <c r="J2934" s="0">
        <v>37</v>
      </c>
    </row>
    <row r="2935" spans="1:10" customHeight="0">
      <c r="A2935" s="0">
        <f>HYPERLINK("https://dl.dropboxusercontent.com/scl/fi/nf4shqs0oze8s5e0y3tn7/split-sweatshirt.jpg?rlkey=en4d2tczdu25o16msx86d0f8y&amp;dl=0","Click to download Image")</f>
      </c>
      <c r="B2935" s="0">
        <f>HYPERLINK("https://dl.dropboxusercontent.com/scl/fi/xajn6ppd9e8z0a4h8n5s3/ladies-a.jpg?rlkey=k0yrxi3eab25sb6t8kdcvx6tk&amp;dl=0","Click to download SizeChart")</f>
      </c>
      <c r="C2935" s="0" t="inlineStr">
        <is>
          <t>Split Women's Sweatshirt</t>
        </is>
      </c>
      <c r="D2935" s="1">
        <v>94443</v>
      </c>
      <c r="E2935" s="0" t="inlineStr">
        <is>
          <t>SPLIT:94443D - XL</t>
        </is>
      </c>
      <c r="G2935" s="0" t="inlineStr">
        <is>
          <t>WOMENS</t>
        </is>
      </c>
      <c r="H2935" s="0" t="inlineStr">
        <is>
          <t>XL</t>
        </is>
      </c>
      <c r="I2935" s="0">
        <v>44.99</v>
      </c>
      <c r="J2935" s="0">
        <v>51</v>
      </c>
    </row>
    <row r="2936" spans="1:10" customHeight="0">
      <c r="A2936" s="0">
        <f>HYPERLINK("https://dl.dropboxusercontent.com/scl/fi/nf4shqs0oze8s5e0y3tn7/split-sweatshirt.jpg?rlkey=en4d2tczdu25o16msx86d0f8y&amp;dl=0","Click to download Image")</f>
      </c>
      <c r="B2936" s="0">
        <f>HYPERLINK("https://dl.dropboxusercontent.com/scl/fi/xajn6ppd9e8z0a4h8n5s3/ladies-a.jpg?rlkey=k0yrxi3eab25sb6t8kdcvx6tk&amp;dl=0","Click to download SizeChart")</f>
      </c>
      <c r="C2936" s="0" t="inlineStr">
        <is>
          <t>Split Women's Sweatshirt</t>
        </is>
      </c>
      <c r="D2936" s="1">
        <v>94443</v>
      </c>
      <c r="E2936" s="0" t="inlineStr">
        <is>
          <t>SPLIT:94443E - 2XL</t>
        </is>
      </c>
      <c r="G2936" s="0" t="inlineStr">
        <is>
          <t>WOMENS</t>
        </is>
      </c>
      <c r="H2936" s="0" t="inlineStr">
        <is>
          <t>2XL</t>
        </is>
      </c>
      <c r="I2936" s="0">
        <v>46.99</v>
      </c>
      <c r="J2936" s="0">
        <v>19</v>
      </c>
    </row>
    <row r="2937" spans="1:10" customHeight="0">
      <c r="A2937" s="0">
        <f>HYPERLINK("https://dl.dropboxusercontent.com/scl/fi/02ljyxfuoi12rfvr36yc0/iaspectatorf62726.jpg?rlkey=mmb2u9vwdtie8icccgf95tr4q&amp;dl=0","Click to download Image")</f>
      </c>
      <c r="B2937" s="0">
        <f>HYPERLINK("https://dl.dropboxusercontent.com/scl/fi/1na8etit8ng0aw8q0b6kx/mens-d.jpg?rlkey=g08vdzhennhfoj01bzpinm3v5&amp;dl=0","Click to download SizeChart")</f>
      </c>
      <c r="C2937" s="0" t="inlineStr">
        <is>
          <t>Spectator Men's Performance Hoodie</t>
        </is>
      </c>
      <c r="D2937" s="1">
        <v>95561</v>
      </c>
      <c r="E2937" s="0" t="inlineStr">
        <is>
          <t>SPECTATOR:95561A-S</t>
        </is>
      </c>
      <c r="G2937" s="0" t="inlineStr">
        <is>
          <t>MENS</t>
        </is>
      </c>
      <c r="H2937" s="0" t="inlineStr">
        <is>
          <t>S</t>
        </is>
      </c>
      <c r="I2937" s="0">
        <v>49.99</v>
      </c>
      <c r="J2937" s="0">
        <v>0</v>
      </c>
    </row>
    <row r="2938" spans="1:10" customHeight="0">
      <c r="A2938" s="0">
        <f>HYPERLINK("https://dl.dropboxusercontent.com/scl/fi/02ljyxfuoi12rfvr36yc0/iaspectatorf62726.jpg?rlkey=mmb2u9vwdtie8icccgf95tr4q&amp;dl=0","Click to download Image")</f>
      </c>
      <c r="B2938" s="0">
        <f>HYPERLINK("https://dl.dropboxusercontent.com/scl/fi/1na8etit8ng0aw8q0b6kx/mens-d.jpg?rlkey=g08vdzhennhfoj01bzpinm3v5&amp;dl=0","Click to download SizeChart")</f>
      </c>
      <c r="C2938" s="0" t="inlineStr">
        <is>
          <t>Spectator Men's Performance Hoodie</t>
        </is>
      </c>
      <c r="D2938" s="1">
        <v>95561</v>
      </c>
      <c r="E2938" s="0" t="inlineStr">
        <is>
          <t>SPECTATOR:95561B-M</t>
        </is>
      </c>
      <c r="G2938" s="0" t="inlineStr">
        <is>
          <t>MENS</t>
        </is>
      </c>
      <c r="H2938" s="0" t="inlineStr">
        <is>
          <t>M</t>
        </is>
      </c>
      <c r="I2938" s="0">
        <v>49.99</v>
      </c>
      <c r="J2938" s="0">
        <v>14</v>
      </c>
    </row>
    <row r="2939" spans="1:10" customHeight="0">
      <c r="A2939" s="0">
        <f>HYPERLINK("https://dl.dropboxusercontent.com/scl/fi/02ljyxfuoi12rfvr36yc0/iaspectatorf62726.jpg?rlkey=mmb2u9vwdtie8icccgf95tr4q&amp;dl=0","Click to download Image")</f>
      </c>
      <c r="B2939" s="0">
        <f>HYPERLINK("https://dl.dropboxusercontent.com/scl/fi/1na8etit8ng0aw8q0b6kx/mens-d.jpg?rlkey=g08vdzhennhfoj01bzpinm3v5&amp;dl=0","Click to download SizeChart")</f>
      </c>
      <c r="C2939" s="0" t="inlineStr">
        <is>
          <t>Spectator Men's Performance Hoodie</t>
        </is>
      </c>
      <c r="D2939" s="1">
        <v>95561</v>
      </c>
      <c r="E2939" s="0" t="inlineStr">
        <is>
          <t>SPECTATOR:95561C-L</t>
        </is>
      </c>
      <c r="G2939" s="0" t="inlineStr">
        <is>
          <t>MENS</t>
        </is>
      </c>
      <c r="H2939" s="0" t="inlineStr">
        <is>
          <t>L</t>
        </is>
      </c>
      <c r="I2939" s="0">
        <v>49.99</v>
      </c>
      <c r="J2939" s="0">
        <v>38</v>
      </c>
    </row>
    <row r="2940" spans="1:10" customHeight="0">
      <c r="A2940" s="0">
        <f>HYPERLINK("https://dl.dropboxusercontent.com/scl/fi/02ljyxfuoi12rfvr36yc0/iaspectatorf62726.jpg?rlkey=mmb2u9vwdtie8icccgf95tr4q&amp;dl=0","Click to download Image")</f>
      </c>
      <c r="B2940" s="0">
        <f>HYPERLINK("https://dl.dropboxusercontent.com/scl/fi/1na8etit8ng0aw8q0b6kx/mens-d.jpg?rlkey=g08vdzhennhfoj01bzpinm3v5&amp;dl=0","Click to download SizeChart")</f>
      </c>
      <c r="C2940" s="0" t="inlineStr">
        <is>
          <t>Spectator Men's Performance Hoodie</t>
        </is>
      </c>
      <c r="D2940" s="1">
        <v>95561</v>
      </c>
      <c r="E2940" s="0" t="inlineStr">
        <is>
          <t>SPECTATOR:95561D-XL</t>
        </is>
      </c>
      <c r="G2940" s="0" t="inlineStr">
        <is>
          <t>MENS</t>
        </is>
      </c>
      <c r="H2940" s="0" t="inlineStr">
        <is>
          <t>XL</t>
        </is>
      </c>
      <c r="I2940" s="0">
        <v>49.99</v>
      </c>
      <c r="J2940" s="0">
        <v>40</v>
      </c>
    </row>
    <row r="2941" spans="1:10" customHeight="0">
      <c r="A2941" s="0">
        <f>HYPERLINK("https://dl.dropboxusercontent.com/scl/fi/02ljyxfuoi12rfvr36yc0/iaspectatorf62726.jpg?rlkey=mmb2u9vwdtie8icccgf95tr4q&amp;dl=0","Click to download Image")</f>
      </c>
      <c r="B2941" s="0">
        <f>HYPERLINK("https://dl.dropboxusercontent.com/scl/fi/1na8etit8ng0aw8q0b6kx/mens-d.jpg?rlkey=g08vdzhennhfoj01bzpinm3v5&amp;dl=0","Click to download SizeChart")</f>
      </c>
      <c r="C2941" s="0" t="inlineStr">
        <is>
          <t>Spectator Men's Performance Hoodie</t>
        </is>
      </c>
      <c r="D2941" s="1">
        <v>95561</v>
      </c>
      <c r="E2941" s="0" t="inlineStr">
        <is>
          <t>SPECTATOR:95561E-2X</t>
        </is>
      </c>
      <c r="G2941" s="0" t="inlineStr">
        <is>
          <t>MENS</t>
        </is>
      </c>
      <c r="H2941" s="0" t="inlineStr">
        <is>
          <t>2XL</t>
        </is>
      </c>
      <c r="I2941" s="0">
        <v>51.99</v>
      </c>
      <c r="J2941" s="0">
        <v>0</v>
      </c>
    </row>
    <row r="2942" spans="1:10" customHeight="0">
      <c r="A2942" s="0">
        <f>HYPERLINK("https://dl.dropboxusercontent.com/scl/fi/02ljyxfuoi12rfvr36yc0/iaspectatorf62726.jpg?rlkey=mmb2u9vwdtie8icccgf95tr4q&amp;dl=0","Click to download Image")</f>
      </c>
      <c r="B2942" s="0">
        <f>HYPERLINK("https://dl.dropboxusercontent.com/scl/fi/1na8etit8ng0aw8q0b6kx/mens-d.jpg?rlkey=g08vdzhennhfoj01bzpinm3v5&amp;dl=0","Click to download SizeChart")</f>
      </c>
      <c r="C2942" s="0" t="inlineStr">
        <is>
          <t>Spectator Men's Performance Hoodie</t>
        </is>
      </c>
      <c r="D2942" s="1">
        <v>95561</v>
      </c>
      <c r="E2942" s="0" t="inlineStr">
        <is>
          <t>SPECTATOR:95561F-3X</t>
        </is>
      </c>
      <c r="G2942" s="0" t="inlineStr">
        <is>
          <t>MENS</t>
        </is>
      </c>
      <c r="H2942" s="0" t="inlineStr">
        <is>
          <t>3XL</t>
        </is>
      </c>
      <c r="I2942" s="0">
        <v>51.99</v>
      </c>
      <c r="J2942" s="0">
        <v>0</v>
      </c>
    </row>
    <row r="2943" spans="1:10" customHeight="0">
      <c r="A2943" s="0">
        <f>HYPERLINK("https://dl.dropboxusercontent.com/scl/fi/9oztzhi9ebc5vg7ytbxn4/space-dye.jpg?rlkey=qjoxtsafn38fzgo7f14fs9879&amp;dl=0","Click to download Image")</f>
      </c>
      <c r="B2943" s="0">
        <f>HYPERLINK("https://dl.dropboxusercontent.com/scl/fi/cphsp15jpgpt11ltvgqev/mens-polo-size-chartsspace-dye.jpg?rlkey=77x2nwyk8k3kup2klsx9merun&amp;dl=0","Click to download SizeChart")</f>
      </c>
      <c r="C2943" s="0" t="inlineStr">
        <is>
          <t>Space Dye Men's Polo</t>
        </is>
      </c>
      <c r="D2943" s="1">
        <v>109781</v>
      </c>
      <c r="E2943" s="0" t="inlineStr">
        <is>
          <t>IOWA SPACE DYE:109781DT - XL TALL</t>
        </is>
      </c>
      <c r="G2943" s="0" t="inlineStr">
        <is>
          <t>MENS</t>
        </is>
      </c>
      <c r="H2943" s="0" t="inlineStr">
        <is>
          <t>XL TALL</t>
        </is>
      </c>
      <c r="I2943" s="0">
        <v>49.99</v>
      </c>
      <c r="J2943" s="0">
        <v>0</v>
      </c>
    </row>
    <row r="2944" spans="1:10" customHeight="0">
      <c r="A2944" s="0">
        <f>HYPERLINK("https://dl.dropboxusercontent.com/scl/fi/9oztzhi9ebc5vg7ytbxn4/space-dye.jpg?rlkey=qjoxtsafn38fzgo7f14fs9879&amp;dl=0","Click to download Image")</f>
      </c>
      <c r="B2944" s="0">
        <f>HYPERLINK("https://dl.dropboxusercontent.com/scl/fi/cphsp15jpgpt11ltvgqev/mens-polo-size-chartsspace-dye.jpg?rlkey=77x2nwyk8k3kup2klsx9merun&amp;dl=0","Click to download SizeChart")</f>
      </c>
      <c r="C2944" s="0" t="inlineStr">
        <is>
          <t>Space Dye Men's Polo</t>
        </is>
      </c>
      <c r="D2944" s="1">
        <v>109781</v>
      </c>
      <c r="E2944" s="0" t="inlineStr">
        <is>
          <t>IOWA SPACE DYE:109781EB - 2XL BIG</t>
        </is>
      </c>
      <c r="G2944" s="0" t="inlineStr">
        <is>
          <t>MENS</t>
        </is>
      </c>
      <c r="H2944" s="0" t="inlineStr">
        <is>
          <t>2XL BIG</t>
        </is>
      </c>
      <c r="I2944" s="0">
        <v>51.99</v>
      </c>
      <c r="J2944" s="0">
        <v>6</v>
      </c>
    </row>
    <row r="2945" spans="1:10" customHeight="0">
      <c r="A2945" s="0">
        <f>HYPERLINK("https://dl.dropboxusercontent.com/scl/fi/9oztzhi9ebc5vg7ytbxn4/space-dye.jpg?rlkey=qjoxtsafn38fzgo7f14fs9879&amp;dl=0","Click to download Image")</f>
      </c>
      <c r="B2945" s="0">
        <f>HYPERLINK("https://dl.dropboxusercontent.com/scl/fi/cphsp15jpgpt11ltvgqev/mens-polo-size-chartsspace-dye.jpg?rlkey=77x2nwyk8k3kup2klsx9merun&amp;dl=0","Click to download SizeChart")</f>
      </c>
      <c r="C2945" s="0" t="inlineStr">
        <is>
          <t>Space Dye Men's Polo</t>
        </is>
      </c>
      <c r="D2945" s="1">
        <v>109781</v>
      </c>
      <c r="E2945" s="0" t="inlineStr">
        <is>
          <t>IOWA SPACE DYE:109781ET - 2XL TALL</t>
        </is>
      </c>
      <c r="G2945" s="0" t="inlineStr">
        <is>
          <t>MENS</t>
        </is>
      </c>
      <c r="H2945" s="0" t="inlineStr">
        <is>
          <t>2XL TALL</t>
        </is>
      </c>
      <c r="I2945" s="0">
        <v>51.99</v>
      </c>
      <c r="J2945" s="0">
        <v>5</v>
      </c>
    </row>
    <row r="2946" spans="1:10" customHeight="0">
      <c r="A2946" s="0">
        <f>HYPERLINK("https://dl.dropboxusercontent.com/scl/fi/9oztzhi9ebc5vg7ytbxn4/space-dye.jpg?rlkey=qjoxtsafn38fzgo7f14fs9879&amp;dl=0","Click to download Image")</f>
      </c>
      <c r="B2946" s="0">
        <f>HYPERLINK("https://dl.dropboxusercontent.com/scl/fi/cphsp15jpgpt11ltvgqev/mens-polo-size-chartsspace-dye.jpg?rlkey=77x2nwyk8k3kup2klsx9merun&amp;dl=0","Click to download SizeChart")</f>
      </c>
      <c r="C2946" s="0" t="inlineStr">
        <is>
          <t>Space Dye Men's Polo</t>
        </is>
      </c>
      <c r="D2946" s="1">
        <v>109781</v>
      </c>
      <c r="E2946" s="0" t="inlineStr">
        <is>
          <t>IOWA SPACE DYE:109781FB - 3XL BIG</t>
        </is>
      </c>
      <c r="G2946" s="0" t="inlineStr">
        <is>
          <t>MENS</t>
        </is>
      </c>
      <c r="H2946" s="0" t="inlineStr">
        <is>
          <t>3XL BIG</t>
        </is>
      </c>
      <c r="I2946" s="0">
        <v>51.99</v>
      </c>
      <c r="J2946" s="0">
        <v>8</v>
      </c>
    </row>
    <row r="2947" spans="1:10" customHeight="0">
      <c r="A2947" s="0">
        <f>HYPERLINK("https://dl.dropboxusercontent.com/scl/fi/9oztzhi9ebc5vg7ytbxn4/space-dye.jpg?rlkey=qjoxtsafn38fzgo7f14fs9879&amp;dl=0","Click to download Image")</f>
      </c>
      <c r="B2947" s="0">
        <f>HYPERLINK("https://dl.dropboxusercontent.com/scl/fi/cphsp15jpgpt11ltvgqev/mens-polo-size-chartsspace-dye.jpg?rlkey=77x2nwyk8k3kup2klsx9merun&amp;dl=0","Click to download SizeChart")</f>
      </c>
      <c r="C2947" s="0" t="inlineStr">
        <is>
          <t>Space Dye Men's Polo</t>
        </is>
      </c>
      <c r="D2947" s="1">
        <v>109781</v>
      </c>
      <c r="E2947" s="0" t="inlineStr">
        <is>
          <t>IOWA SPACE DYE:109781FT - 3XL TALL</t>
        </is>
      </c>
      <c r="G2947" s="0" t="inlineStr">
        <is>
          <t>MENS</t>
        </is>
      </c>
      <c r="H2947" s="0" t="inlineStr">
        <is>
          <t>3XL TALL</t>
        </is>
      </c>
      <c r="I2947" s="0">
        <v>51.99</v>
      </c>
      <c r="J2947" s="0">
        <v>10</v>
      </c>
    </row>
    <row r="2948" spans="1:10" customHeight="0">
      <c r="A2948" s="0">
        <f>HYPERLINK("https://dl.dropboxusercontent.com/scl/fi/9oztzhi9ebc5vg7ytbxn4/space-dye.jpg?rlkey=qjoxtsafn38fzgo7f14fs9879&amp;dl=0","Click to download Image")</f>
      </c>
      <c r="B2948" s="0">
        <f>HYPERLINK("https://dl.dropboxusercontent.com/scl/fi/cphsp15jpgpt11ltvgqev/mens-polo-size-chartsspace-dye.jpg?rlkey=77x2nwyk8k3kup2klsx9merun&amp;dl=0","Click to download SizeChart")</f>
      </c>
      <c r="C2948" s="0" t="inlineStr">
        <is>
          <t>Space Dye Men's Polo</t>
        </is>
      </c>
      <c r="D2948" s="1">
        <v>109781</v>
      </c>
      <c r="E2948" s="0" t="inlineStr">
        <is>
          <t>IOWA SPACE DYE:109781GB - 4XL BIG</t>
        </is>
      </c>
      <c r="G2948" s="0" t="inlineStr">
        <is>
          <t>MENS</t>
        </is>
      </c>
      <c r="H2948" s="0" t="inlineStr">
        <is>
          <t>4XL BIG</t>
        </is>
      </c>
      <c r="I2948" s="0">
        <v>53.99</v>
      </c>
      <c r="J2948" s="0">
        <v>11</v>
      </c>
    </row>
    <row r="2949" spans="1:10" customHeight="0">
      <c r="A2949" s="0">
        <f>HYPERLINK("https://dl.dropboxusercontent.com/scl/fi/9oztzhi9ebc5vg7ytbxn4/space-dye.jpg?rlkey=qjoxtsafn38fzgo7f14fs9879&amp;dl=0","Click to download Image")</f>
      </c>
      <c r="B2949" s="0">
        <f>HYPERLINK("https://dl.dropboxusercontent.com/scl/fi/cphsp15jpgpt11ltvgqev/mens-polo-size-chartsspace-dye.jpg?rlkey=77x2nwyk8k3kup2klsx9merun&amp;dl=0","Click to download SizeChart")</f>
      </c>
      <c r="C2949" s="0" t="inlineStr">
        <is>
          <t>Space Dye Men's Polo</t>
        </is>
      </c>
      <c r="D2949" s="1">
        <v>109781</v>
      </c>
      <c r="E2949" s="0" t="inlineStr">
        <is>
          <t>IOWA SPACE DYE:109781GT - 4XL TALL</t>
        </is>
      </c>
      <c r="G2949" s="0" t="inlineStr">
        <is>
          <t>MENS</t>
        </is>
      </c>
      <c r="H2949" s="0" t="inlineStr">
        <is>
          <t>4XL TALL</t>
        </is>
      </c>
      <c r="I2949" s="0">
        <v>49.99</v>
      </c>
      <c r="J2949" s="0">
        <v>11</v>
      </c>
    </row>
    <row r="2950" spans="1:10" customHeight="0">
      <c r="A2950" s="0">
        <f>HYPERLINK("https://dl.dropboxusercontent.com/scl/fi/9oztzhi9ebc5vg7ytbxn4/space-dye.jpg?rlkey=qjoxtsafn38fzgo7f14fs9879&amp;dl=0","Click to download Image")</f>
      </c>
      <c r="B2950" s="0">
        <f>HYPERLINK("https://dl.dropboxusercontent.com/scl/fi/cphsp15jpgpt11ltvgqev/mens-polo-size-chartsspace-dye.jpg?rlkey=77x2nwyk8k3kup2klsx9merun&amp;dl=0","Click to download SizeChart")</f>
      </c>
      <c r="C2950" s="0" t="inlineStr">
        <is>
          <t>Space Dye Men's Polo</t>
        </is>
      </c>
      <c r="D2950" s="1">
        <v>109781</v>
      </c>
      <c r="E2950" s="0" t="inlineStr">
        <is>
          <t>IOWA SPACE DYE:109781HB - 5XL BIG</t>
        </is>
      </c>
      <c r="G2950" s="0" t="inlineStr">
        <is>
          <t>MENS</t>
        </is>
      </c>
      <c r="H2950" s="0" t="inlineStr">
        <is>
          <t>5XL BIG</t>
        </is>
      </c>
      <c r="I2950" s="0">
        <v>53.99</v>
      </c>
      <c r="J2950" s="0">
        <v>12</v>
      </c>
    </row>
    <row r="2951" spans="1:10" customHeight="0">
      <c r="A2951" s="0">
        <f>HYPERLINK("https://dl.dropboxusercontent.com/scl/fi/9oztzhi9ebc5vg7ytbxn4/space-dye.jpg?rlkey=qjoxtsafn38fzgo7f14fs9879&amp;dl=0","Click to download Image")</f>
      </c>
      <c r="B2951" s="0">
        <f>HYPERLINK("https://dl.dropboxusercontent.com/scl/fi/cphsp15jpgpt11ltvgqev/mens-polo-size-chartsspace-dye.jpg?rlkey=77x2nwyk8k3kup2klsx9merun&amp;dl=0","Click to download SizeChart")</f>
      </c>
      <c r="C2951" s="0" t="inlineStr">
        <is>
          <t>Space Dye Men's Polo</t>
        </is>
      </c>
      <c r="D2951" s="1">
        <v>109781</v>
      </c>
      <c r="E2951" s="0" t="inlineStr">
        <is>
          <t>IOWA SPACE DYE:109781HT - 5XL TALL</t>
        </is>
      </c>
      <c r="G2951" s="0" t="inlineStr">
        <is>
          <t>MENS</t>
        </is>
      </c>
      <c r="H2951" s="0" t="inlineStr">
        <is>
          <t>5XL TALL</t>
        </is>
      </c>
      <c r="I2951" s="0">
        <v>49.99</v>
      </c>
      <c r="J2951" s="0">
        <v>12</v>
      </c>
    </row>
    <row r="2952" spans="1:10" customHeight="0">
      <c r="A2952" s="0">
        <f>HYPERLINK("https://dl.dropboxusercontent.com/scl/fi/g42oe5b73kvln2bywskm0/sprint-02.jpg?rlkey=cd4natdy04hdpdx5bfmv11xqs&amp;dl=0","Click to download Image")</f>
      </c>
      <c r="C2952" s="0" t="inlineStr">
        <is>
          <t>Sprint Men's Lightweight Hoodie</t>
        </is>
      </c>
      <c r="D2952" s="1">
        <v>94445</v>
      </c>
      <c r="E2952" s="0" t="inlineStr">
        <is>
          <t>SPRINT:94445J-XLT</t>
        </is>
      </c>
      <c r="G2952" s="0" t="inlineStr">
        <is>
          <t>MENS</t>
        </is>
      </c>
      <c r="H2952" s="0" t="inlineStr">
        <is>
          <t>XL TALL</t>
        </is>
      </c>
      <c r="I2952" s="0">
        <v>41.99</v>
      </c>
      <c r="J2952" s="0">
        <v>1</v>
      </c>
    </row>
    <row r="2953" spans="1:10" customHeight="0">
      <c r="A2953" s="0">
        <f>HYPERLINK("https://dl.dropboxusercontent.com/scl/fi/g42oe5b73kvln2bywskm0/sprint-02.jpg?rlkey=cd4natdy04hdpdx5bfmv11xqs&amp;dl=0","Click to download Image")</f>
      </c>
      <c r="C2953" s="0" t="inlineStr">
        <is>
          <t>Sprint Men's Lightweight Hoodie</t>
        </is>
      </c>
      <c r="D2953" s="1">
        <v>94445</v>
      </c>
      <c r="E2953" s="0" t="inlineStr">
        <is>
          <t>SPRINT:94445K-2XLT</t>
        </is>
      </c>
      <c r="G2953" s="0" t="inlineStr">
        <is>
          <t>MENS</t>
        </is>
      </c>
      <c r="H2953" s="0" t="inlineStr">
        <is>
          <t>2XL TALL</t>
        </is>
      </c>
      <c r="I2953" s="0">
        <v>42.49</v>
      </c>
      <c r="J2953" s="0">
        <v>0</v>
      </c>
    </row>
    <row r="2954" spans="1:10" customHeight="0">
      <c r="A2954" s="0">
        <f>HYPERLINK("https://dl.dropboxusercontent.com/scl/fi/g42oe5b73kvln2bywskm0/sprint-02.jpg?rlkey=cd4natdy04hdpdx5bfmv11xqs&amp;dl=0","Click to download Image")</f>
      </c>
      <c r="C2954" s="0" t="inlineStr">
        <is>
          <t>Sprint Men's Lightweight Hoodie</t>
        </is>
      </c>
      <c r="D2954" s="1">
        <v>94445</v>
      </c>
      <c r="E2954" s="0" t="inlineStr">
        <is>
          <t>SPRINT:94445O-4XLT</t>
        </is>
      </c>
      <c r="G2954" s="0" t="inlineStr">
        <is>
          <t>MENS</t>
        </is>
      </c>
      <c r="H2954" s="0" t="inlineStr">
        <is>
          <t>4XL TALL</t>
        </is>
      </c>
      <c r="I2954" s="0">
        <v>43.49</v>
      </c>
      <c r="J2954" s="0">
        <v>1</v>
      </c>
    </row>
    <row r="2955" spans="1:10" customHeight="0">
      <c r="A2955" s="0">
        <f>HYPERLINK("https://dl.dropboxusercontent.com/scl/fi/g42oe5b73kvln2bywskm0/sprint-02.jpg?rlkey=cd4natdy04hdpdx5bfmv11xqs&amp;dl=0","Click to download Image")</f>
      </c>
      <c r="C2955" s="0" t="inlineStr">
        <is>
          <t>Sprint Men's Lightweight Hoodie</t>
        </is>
      </c>
      <c r="D2955" s="1">
        <v>94445</v>
      </c>
      <c r="E2955" s="0" t="inlineStr">
        <is>
          <t>SPRINT:94445P-5XLT</t>
        </is>
      </c>
      <c r="G2955" s="0" t="inlineStr">
        <is>
          <t>MENS</t>
        </is>
      </c>
      <c r="H2955" s="0" t="inlineStr">
        <is>
          <t>5XL TALL</t>
        </is>
      </c>
      <c r="I2955" s="0">
        <v>43.99</v>
      </c>
      <c r="J2955" s="0">
        <v>3</v>
      </c>
    </row>
    <row r="2956" spans="1:10" customHeight="0">
      <c r="A2956" s="0">
        <f>HYPERLINK("https://dl.dropboxusercontent.com/scl/fi/g42oe5b73kvln2bywskm0/sprint-02.jpg?rlkey=cd4natdy04hdpdx5bfmv11xqs&amp;dl=0","Click to download Image")</f>
      </c>
      <c r="C2956" s="0" t="inlineStr">
        <is>
          <t>Sprint Men's Lightweight Hoodie</t>
        </is>
      </c>
      <c r="D2956" s="1">
        <v>94445</v>
      </c>
      <c r="E2956" s="0" t="inlineStr">
        <is>
          <t>SPRINT:94445G-6XL</t>
        </is>
      </c>
      <c r="G2956" s="0" t="inlineStr">
        <is>
          <t>MENS</t>
        </is>
      </c>
      <c r="H2956" s="0" t="inlineStr">
        <is>
          <t>6XL</t>
        </is>
      </c>
      <c r="I2956" s="0">
        <v>39.99</v>
      </c>
      <c r="J2956" s="0">
        <v>3</v>
      </c>
    </row>
    <row r="2957" spans="1:10" customHeight="0">
      <c r="A2957" s="0">
        <f>HYPERLINK("https://dl.dropboxusercontent.com/scl/fi/g42oe5b73kvln2bywskm0/sprint-02.jpg?rlkey=cd4natdy04hdpdx5bfmv11xqs&amp;dl=0","Click to download Image")</f>
      </c>
      <c r="C2957" s="0" t="inlineStr">
        <is>
          <t>Sprint Men's Lightweight Hoodie</t>
        </is>
      </c>
      <c r="D2957" s="1">
        <v>94445</v>
      </c>
      <c r="E2957" s="0" t="inlineStr">
        <is>
          <t>SPRINT:94445Q-6XLT</t>
        </is>
      </c>
      <c r="G2957" s="0" t="inlineStr">
        <is>
          <t>MENS</t>
        </is>
      </c>
      <c r="H2957" s="0" t="inlineStr">
        <is>
          <t>6XL TALL</t>
        </is>
      </c>
      <c r="I2957" s="0">
        <v>44.49</v>
      </c>
      <c r="J2957" s="0">
        <v>2</v>
      </c>
    </row>
    <row r="2958" spans="1:10" customHeight="0">
      <c r="A2958" s="0">
        <f>HYPERLINK("https://dl.dropboxusercontent.com/scl/fi/g42oe5b73kvln2bywskm0/sprint-02.jpg?rlkey=cd4natdy04hdpdx5bfmv11xqs&amp;dl=0","Click to download Image")</f>
      </c>
      <c r="C2958" s="0" t="inlineStr">
        <is>
          <t>Sprint Men's Lightweight Hoodie</t>
        </is>
      </c>
      <c r="D2958" s="1">
        <v>94445</v>
      </c>
      <c r="E2958" s="0" t="inlineStr">
        <is>
          <t>SPRINT:94445K-8XL</t>
        </is>
      </c>
      <c r="G2958" s="0" t="inlineStr">
        <is>
          <t>MENS</t>
        </is>
      </c>
      <c r="H2958" s="0" t="inlineStr">
        <is>
          <t>8XL</t>
        </is>
      </c>
      <c r="I2958" s="0">
        <v>45.49</v>
      </c>
      <c r="J2958" s="0">
        <v>3</v>
      </c>
    </row>
    <row r="2959" spans="1:10" customHeight="0">
      <c r="A2959" s="0">
        <f>HYPERLINK("https://dl.dropboxusercontent.com/scl/fi/ay4gsizn3ucnm2amvvgr6/dsc0977crop.jpg?rlkey=io9a1f213r3e9vk2p97225hld&amp;dl=0","Click to download Image")</f>
      </c>
      <c r="C2959" s="0" t="inlineStr">
        <is>
          <t>Raina Women's Jacket</t>
        </is>
      </c>
      <c r="D2959" s="1">
        <v>104268</v>
      </c>
      <c r="E2959" s="0" t="inlineStr">
        <is>
          <t>RAINA:104268A-S</t>
        </is>
      </c>
      <c r="G2959" s="0" t="inlineStr">
        <is>
          <t>WOMENS</t>
        </is>
      </c>
      <c r="H2959" s="0" t="inlineStr">
        <is>
          <t>S</t>
        </is>
      </c>
      <c r="I2959" s="0">
        <v>59.99</v>
      </c>
      <c r="J2959" s="0">
        <v>43</v>
      </c>
    </row>
    <row r="2960" spans="1:10" customHeight="0">
      <c r="A2960" s="0">
        <f>HYPERLINK("https://dl.dropboxusercontent.com/scl/fi/ay4gsizn3ucnm2amvvgr6/dsc0977crop.jpg?rlkey=io9a1f213r3e9vk2p97225hld&amp;dl=0","Click to download Image")</f>
      </c>
      <c r="C2960" s="0" t="inlineStr">
        <is>
          <t>Raina Women's Jacket</t>
        </is>
      </c>
      <c r="D2960" s="1">
        <v>104268</v>
      </c>
      <c r="E2960" s="0" t="inlineStr">
        <is>
          <t>RAINA:104268B-M</t>
        </is>
      </c>
      <c r="G2960" s="0" t="inlineStr">
        <is>
          <t>WOMENS</t>
        </is>
      </c>
      <c r="H2960" s="0" t="inlineStr">
        <is>
          <t>M</t>
        </is>
      </c>
      <c r="I2960" s="0">
        <v>59.99</v>
      </c>
      <c r="J2960" s="0">
        <v>68</v>
      </c>
    </row>
    <row r="2961" spans="1:10" customHeight="0">
      <c r="A2961" s="0">
        <f>HYPERLINK("https://dl.dropboxusercontent.com/scl/fi/ay4gsizn3ucnm2amvvgr6/dsc0977crop.jpg?rlkey=io9a1f213r3e9vk2p97225hld&amp;dl=0","Click to download Image")</f>
      </c>
      <c r="C2961" s="0" t="inlineStr">
        <is>
          <t>Raina Women's Jacket</t>
        </is>
      </c>
      <c r="D2961" s="1">
        <v>104268</v>
      </c>
      <c r="E2961" s="0" t="inlineStr">
        <is>
          <t>RAINA:104268C-L</t>
        </is>
      </c>
      <c r="G2961" s="0" t="inlineStr">
        <is>
          <t>WOMENS</t>
        </is>
      </c>
      <c r="H2961" s="0" t="inlineStr">
        <is>
          <t>L</t>
        </is>
      </c>
      <c r="I2961" s="0">
        <v>59.99</v>
      </c>
      <c r="J2961" s="0">
        <v>68</v>
      </c>
    </row>
    <row r="2962" spans="1:10" customHeight="0">
      <c r="A2962" s="0">
        <f>HYPERLINK("https://dl.dropboxusercontent.com/scl/fi/ay4gsizn3ucnm2amvvgr6/dsc0977crop.jpg?rlkey=io9a1f213r3e9vk2p97225hld&amp;dl=0","Click to download Image")</f>
      </c>
      <c r="C2962" s="0" t="inlineStr">
        <is>
          <t>Raina Women's Jacket</t>
        </is>
      </c>
      <c r="D2962" s="1">
        <v>104268</v>
      </c>
      <c r="E2962" s="0" t="inlineStr">
        <is>
          <t>RAINA:104268D-XL</t>
        </is>
      </c>
      <c r="G2962" s="0" t="inlineStr">
        <is>
          <t>WOMENS</t>
        </is>
      </c>
      <c r="H2962" s="0" t="inlineStr">
        <is>
          <t>XL</t>
        </is>
      </c>
      <c r="I2962" s="0">
        <v>59.99</v>
      </c>
      <c r="J2962" s="0">
        <v>65</v>
      </c>
    </row>
    <row r="2963" spans="1:10" customHeight="0">
      <c r="A2963" s="0">
        <f>HYPERLINK("https://dl.dropboxusercontent.com/scl/fi/ay4gsizn3ucnm2amvvgr6/dsc0977crop.jpg?rlkey=io9a1f213r3e9vk2p97225hld&amp;dl=0","Click to download Image")</f>
      </c>
      <c r="C2963" s="0" t="inlineStr">
        <is>
          <t>Raina Women's Jacket</t>
        </is>
      </c>
      <c r="D2963" s="1">
        <v>104268</v>
      </c>
      <c r="E2963" s="0" t="inlineStr">
        <is>
          <t>RAINA:104268E-2XL</t>
        </is>
      </c>
      <c r="G2963" s="0" t="inlineStr">
        <is>
          <t>WOMENS</t>
        </is>
      </c>
      <c r="H2963" s="0" t="inlineStr">
        <is>
          <t>2XL</t>
        </is>
      </c>
      <c r="I2963" s="0">
        <v>61.99</v>
      </c>
      <c r="J2963" s="0">
        <v>52</v>
      </c>
    </row>
    <row r="2964" spans="1:10" customHeight="0">
      <c r="A2964" s="0">
        <f>HYPERLINK("https://dl.dropboxusercontent.com/scl/fi/ay4gsizn3ucnm2amvvgr6/dsc0977crop.jpg?rlkey=io9a1f213r3e9vk2p97225hld&amp;dl=0","Click to download Image")</f>
      </c>
      <c r="C2964" s="0" t="inlineStr">
        <is>
          <t>Raina Women's Jacket</t>
        </is>
      </c>
      <c r="D2964" s="1">
        <v>104268</v>
      </c>
      <c r="E2964" s="0" t="inlineStr">
        <is>
          <t>RAINA:104268F- 3XL</t>
        </is>
      </c>
      <c r="G2964" s="0" t="inlineStr">
        <is>
          <t>WOMENS</t>
        </is>
      </c>
      <c r="H2964" s="0" t="inlineStr">
        <is>
          <t>3XL</t>
        </is>
      </c>
      <c r="I2964" s="0">
        <v>61.99</v>
      </c>
      <c r="J2964" s="0">
        <v>0</v>
      </c>
    </row>
    <row r="2965" spans="1:10" customHeight="0">
      <c r="A2965" s="0">
        <f>HYPERLINK("https://dl.dropboxusercontent.com/scl/fi/ry3e9wgkb28sn2f5nd28b/92443af33866.jpg?rlkey=rb21fo10qkdg11f29bj99libz&amp;dl=0","Click to download Image")</f>
      </c>
      <c r="C2965" s="0" t="inlineStr">
        <is>
          <t>Non-Woven Shopper Bag</t>
        </is>
      </c>
      <c r="D2965" s="1">
        <v>92443</v>
      </c>
      <c r="E2965" s="0" t="inlineStr">
        <is>
          <t>SHOPPER:92443-SHP</t>
        </is>
      </c>
      <c r="I2965" s="0">
        <v>16.99</v>
      </c>
      <c r="J2965" s="0">
        <v>536</v>
      </c>
    </row>
    <row r="2966" spans="1:10" customHeight="0">
      <c r="A2966" s="0">
        <f>HYPERLINK("https://dl.dropboxusercontent.com/scl/fi/jwvfaxk9iec6jgxmovml8/kenton.jpg?rlkey=t8qg9pu8xc39uzwelgeveg7vc&amp;dl=0","Click to download Image")</f>
      </c>
      <c r="C2966" s="0" t="inlineStr">
        <is>
          <t>Kenton Toddler Bucket Hat</t>
        </is>
      </c>
      <c r="D2966" s="1">
        <v>103077</v>
      </c>
      <c r="E2966" s="0" t="inlineStr">
        <is>
          <t>KENTON:103077</t>
        </is>
      </c>
      <c r="F2966" s="2">
        <v>70010307701</v>
      </c>
      <c r="G2966" s="0" t="inlineStr">
        <is>
          <t>TODDLER</t>
        </is>
      </c>
      <c r="H2966" s="0" t="inlineStr">
        <is>
          <t>TODDLER</t>
        </is>
      </c>
      <c r="I2966" s="0">
        <v>16.99</v>
      </c>
      <c r="J2966" s="0">
        <v>69</v>
      </c>
    </row>
    <row r="2967" spans="1:10" customHeight="0">
      <c r="A2967" s="0">
        <f>HYPERLINK("https://dl.dropboxusercontent.com/scl/fi/3lb737omunk6sael9xyhp/101108f.jpg?rlkey=fkfrlgqnmfu3188y0u9wews9d&amp;dl=0","Click to download Image")</f>
      </c>
      <c r="B2967" s="0">
        <f>HYPERLINK("https://dl.dropboxusercontent.com/scl/fi/vqvvv1orlzfeph7hnhfhx/size-chartsinfant-onesie-standard-a.jpg?rlkey=1ozlecvi6a5bhdw9537ny9jox&amp;dl=0","Click to download SizeChart")</f>
      </c>
      <c r="C2967" s="0" t="inlineStr">
        <is>
          <t>Sawyer Infant Bodysuit</t>
        </is>
      </c>
      <c r="D2967" s="1">
        <v>101108</v>
      </c>
      <c r="E2967" s="0" t="inlineStr">
        <is>
          <t>SAWYER:101108A-0-3M</t>
        </is>
      </c>
      <c r="G2967" s="0" t="inlineStr">
        <is>
          <t>INFANT</t>
        </is>
      </c>
      <c r="H2967" s="0" t="inlineStr">
        <is>
          <t>0-3M</t>
        </is>
      </c>
      <c r="I2967" s="0">
        <v>29.99</v>
      </c>
      <c r="J2967" s="0">
        <v>9</v>
      </c>
    </row>
    <row r="2968" spans="1:10" customHeight="0">
      <c r="A2968" s="0">
        <f>HYPERLINK("https://dl.dropboxusercontent.com/scl/fi/3lb737omunk6sael9xyhp/101108f.jpg?rlkey=fkfrlgqnmfu3188y0u9wews9d&amp;dl=0","Click to download Image")</f>
      </c>
      <c r="B2968" s="0">
        <f>HYPERLINK("https://dl.dropboxusercontent.com/scl/fi/vqvvv1orlzfeph7hnhfhx/size-chartsinfant-onesie-standard-a.jpg?rlkey=1ozlecvi6a5bhdw9537ny9jox&amp;dl=0","Click to download SizeChart")</f>
      </c>
      <c r="C2968" s="0" t="inlineStr">
        <is>
          <t>Sawyer Infant Bodysuit</t>
        </is>
      </c>
      <c r="D2968" s="1">
        <v>101108</v>
      </c>
      <c r="E2968" s="0" t="inlineStr">
        <is>
          <t>SAWYER:101108C-6-9M</t>
        </is>
      </c>
      <c r="G2968" s="0" t="inlineStr">
        <is>
          <t>INFANT</t>
        </is>
      </c>
      <c r="H2968" s="0" t="inlineStr">
        <is>
          <t>6-9M</t>
        </is>
      </c>
      <c r="I2968" s="0">
        <v>29.99</v>
      </c>
      <c r="J2968" s="0">
        <v>3</v>
      </c>
    </row>
    <row r="2969" spans="1:10" customHeight="0">
      <c r="A2969" s="0">
        <f>HYPERLINK("https://dl.dropboxusercontent.com/scl/fi/z3y9jfgt1djkhq4bn83s6/101099-af.jpg?rlkey=emksyqo61bs4vvgcwbg7bwdba&amp;dl=0","Click to download Image")</f>
      </c>
      <c r="C2969" s="0" t="inlineStr">
        <is>
          <t>Jojo Infant Beanie</t>
        </is>
      </c>
      <c r="D2969" s="1">
        <v>101099</v>
      </c>
      <c r="E2969" s="0" t="inlineStr">
        <is>
          <t>JOJO:101099</t>
        </is>
      </c>
      <c r="G2969" s="0" t="inlineStr">
        <is>
          <t>INFANT</t>
        </is>
      </c>
      <c r="H2969" s="0" t="inlineStr">
        <is>
          <t>INFANT</t>
        </is>
      </c>
      <c r="I2969" s="0">
        <v>17.99</v>
      </c>
      <c r="J2969" s="0">
        <v>5</v>
      </c>
    </row>
    <row r="2970" spans="1:10" customHeight="0">
      <c r="A2970" s="0">
        <f>HYPERLINK("https://dl.dropboxusercontent.com/scl/fi/v0s0b34fo36pm758uyp77/101459-f.jpg?rlkey=t7w03dh0v4wufqn728mgt95ob&amp;dl=0","Click to download Image")</f>
      </c>
      <c r="B2970" s="0">
        <f>HYPERLINK("https://dl.dropboxusercontent.com/scl/fi/0diyul6e0a0luk56y6w42/size-chartswomens-standard-fitted-hoodie.jpg?rlkey=sii83ztnw4kp16shz2krrztx0&amp;dl=0","Click to download SizeChart")</f>
      </c>
      <c r="C2970" s="0" t="inlineStr">
        <is>
          <t>Sasha Women's Fleece Pullover</t>
        </is>
      </c>
      <c r="D2970" s="1">
        <v>101459</v>
      </c>
      <c r="E2970" s="0" t="inlineStr">
        <is>
          <t>SASHA:101459A-S</t>
        </is>
      </c>
      <c r="G2970" s="0" t="inlineStr">
        <is>
          <t>WOMENS</t>
        </is>
      </c>
      <c r="H2970" s="0" t="inlineStr">
        <is>
          <t>S</t>
        </is>
      </c>
      <c r="I2970" s="0">
        <v>49.99</v>
      </c>
      <c r="J2970" s="0">
        <v>67</v>
      </c>
    </row>
    <row r="2971" spans="1:10" customHeight="0">
      <c r="A2971" s="0">
        <f>HYPERLINK("https://dl.dropboxusercontent.com/scl/fi/v0s0b34fo36pm758uyp77/101459-f.jpg?rlkey=t7w03dh0v4wufqn728mgt95ob&amp;dl=0","Click to download Image")</f>
      </c>
      <c r="B2971" s="0">
        <f>HYPERLINK("https://dl.dropboxusercontent.com/scl/fi/0diyul6e0a0luk56y6w42/size-chartswomens-standard-fitted-hoodie.jpg?rlkey=sii83ztnw4kp16shz2krrztx0&amp;dl=0","Click to download SizeChart")</f>
      </c>
      <c r="C2971" s="0" t="inlineStr">
        <is>
          <t>Sasha Women's Fleece Pullover</t>
        </is>
      </c>
      <c r="D2971" s="1">
        <v>101459</v>
      </c>
      <c r="E2971" s="0" t="inlineStr">
        <is>
          <t>SASHA:101459B-M</t>
        </is>
      </c>
      <c r="G2971" s="0" t="inlineStr">
        <is>
          <t>WOMENS</t>
        </is>
      </c>
      <c r="H2971" s="0" t="inlineStr">
        <is>
          <t>M</t>
        </is>
      </c>
      <c r="I2971" s="0">
        <v>49.99</v>
      </c>
      <c r="J2971" s="0">
        <v>41</v>
      </c>
    </row>
    <row r="2972" spans="1:10" customHeight="0">
      <c r="A2972" s="0">
        <f>HYPERLINK("https://dl.dropboxusercontent.com/scl/fi/v0s0b34fo36pm758uyp77/101459-f.jpg?rlkey=t7w03dh0v4wufqn728mgt95ob&amp;dl=0","Click to download Image")</f>
      </c>
      <c r="B2972" s="0">
        <f>HYPERLINK("https://dl.dropboxusercontent.com/scl/fi/0diyul6e0a0luk56y6w42/size-chartswomens-standard-fitted-hoodie.jpg?rlkey=sii83ztnw4kp16shz2krrztx0&amp;dl=0","Click to download SizeChart")</f>
      </c>
      <c r="C2972" s="0" t="inlineStr">
        <is>
          <t>Sasha Women's Fleece Pullover</t>
        </is>
      </c>
      <c r="D2972" s="1">
        <v>101459</v>
      </c>
      <c r="E2972" s="0" t="inlineStr">
        <is>
          <t>SASHA:101459C-L</t>
        </is>
      </c>
      <c r="G2972" s="0" t="inlineStr">
        <is>
          <t>WOMENS</t>
        </is>
      </c>
      <c r="H2972" s="0" t="inlineStr">
        <is>
          <t>L</t>
        </is>
      </c>
      <c r="I2972" s="0">
        <v>49.99</v>
      </c>
      <c r="J2972" s="0">
        <v>38</v>
      </c>
    </row>
    <row r="2973" spans="1:10" customHeight="0">
      <c r="A2973" s="0">
        <f>HYPERLINK("https://dl.dropboxusercontent.com/scl/fi/v0s0b34fo36pm758uyp77/101459-f.jpg?rlkey=t7w03dh0v4wufqn728mgt95ob&amp;dl=0","Click to download Image")</f>
      </c>
      <c r="B2973" s="0">
        <f>HYPERLINK("https://dl.dropboxusercontent.com/scl/fi/0diyul6e0a0luk56y6w42/size-chartswomens-standard-fitted-hoodie.jpg?rlkey=sii83ztnw4kp16shz2krrztx0&amp;dl=0","Click to download SizeChart")</f>
      </c>
      <c r="C2973" s="0" t="inlineStr">
        <is>
          <t>Sasha Women's Fleece Pullover</t>
        </is>
      </c>
      <c r="D2973" s="1">
        <v>101459</v>
      </c>
      <c r="E2973" s="0" t="inlineStr">
        <is>
          <t>SASHA:101459D-XL</t>
        </is>
      </c>
      <c r="G2973" s="0" t="inlineStr">
        <is>
          <t>WOMENS</t>
        </is>
      </c>
      <c r="H2973" s="0" t="inlineStr">
        <is>
          <t>XL</t>
        </is>
      </c>
      <c r="I2973" s="0">
        <v>49.99</v>
      </c>
      <c r="J2973" s="0">
        <v>44</v>
      </c>
    </row>
    <row r="2974" spans="1:10" customHeight="0">
      <c r="A2974" s="0">
        <f>HYPERLINK("https://dl.dropboxusercontent.com/scl/fi/v0s0b34fo36pm758uyp77/101459-f.jpg?rlkey=t7w03dh0v4wufqn728mgt95ob&amp;dl=0","Click to download Image")</f>
      </c>
      <c r="B2974" s="0">
        <f>HYPERLINK("https://dl.dropboxusercontent.com/scl/fi/0diyul6e0a0luk56y6w42/size-chartswomens-standard-fitted-hoodie.jpg?rlkey=sii83ztnw4kp16shz2krrztx0&amp;dl=0","Click to download SizeChart")</f>
      </c>
      <c r="C2974" s="0" t="inlineStr">
        <is>
          <t>Sasha Women's Fleece Pullover</t>
        </is>
      </c>
      <c r="D2974" s="1">
        <v>101459</v>
      </c>
      <c r="E2974" s="0" t="inlineStr">
        <is>
          <t>SASHA:101459E-2XL</t>
        </is>
      </c>
      <c r="G2974" s="0" t="inlineStr">
        <is>
          <t>WOMENS</t>
        </is>
      </c>
      <c r="H2974" s="0" t="inlineStr">
        <is>
          <t>2XL</t>
        </is>
      </c>
      <c r="I2974" s="0">
        <v>51.99</v>
      </c>
      <c r="J2974" s="0">
        <v>38</v>
      </c>
    </row>
    <row r="2975" spans="1:10" customHeight="0">
      <c r="A2975" s="0">
        <f>HYPERLINK("https://dl.dropboxusercontent.com/scl/fi/v0s0b34fo36pm758uyp77/101459-f.jpg?rlkey=t7w03dh0v4wufqn728mgt95ob&amp;dl=0","Click to download Image")</f>
      </c>
      <c r="B2975" s="0">
        <f>HYPERLINK("https://dl.dropboxusercontent.com/scl/fi/0diyul6e0a0luk56y6w42/size-chartswomens-standard-fitted-hoodie.jpg?rlkey=sii83ztnw4kp16shz2krrztx0&amp;dl=0","Click to download SizeChart")</f>
      </c>
      <c r="C2975" s="0" t="inlineStr">
        <is>
          <t>Sasha Women's Fleece Pullover</t>
        </is>
      </c>
      <c r="D2975" s="1">
        <v>101459</v>
      </c>
      <c r="E2975" s="0" t="inlineStr">
        <is>
          <t>SASHA:101459F-3XL</t>
        </is>
      </c>
      <c r="G2975" s="0" t="inlineStr">
        <is>
          <t>WOMENS</t>
        </is>
      </c>
      <c r="H2975" s="0" t="inlineStr">
        <is>
          <t>3XL</t>
        </is>
      </c>
      <c r="I2975" s="0">
        <v>51.99</v>
      </c>
      <c r="J2975" s="0">
        <v>7</v>
      </c>
    </row>
    <row r="2976" spans="1:10" customHeight="0">
      <c r="A2976" s="0">
        <f>HYPERLINK("https://dl.dropboxusercontent.com/scl/fi/bemdo2e86g38vekgklg55/104154-af.jpg?rlkey=w7atnyui5tbvj8z1y5uo6w68o&amp;dl=0","Click to download Image")</f>
      </c>
      <c r="C2976" s="0" t="inlineStr">
        <is>
          <t>Jori Women's Cap</t>
        </is>
      </c>
      <c r="D2976" s="1">
        <v>104154</v>
      </c>
      <c r="E2976" s="0" t="inlineStr">
        <is>
          <t>JORI:104154</t>
        </is>
      </c>
      <c r="G2976" s="0" t="inlineStr">
        <is>
          <t>WOMENS</t>
        </is>
      </c>
      <c r="H2976" s="0" t="inlineStr">
        <is>
          <t>WOMENS</t>
        </is>
      </c>
      <c r="I2976" s="0">
        <v>21.99</v>
      </c>
      <c r="J2976" s="0">
        <v>88</v>
      </c>
    </row>
    <row r="2977" spans="1:10" customHeight="0">
      <c r="A2977" s="0">
        <f>HYPERLINK("https://dl.dropboxusercontent.com/scl/fi/e0ahxlb3hzqp67i617qmp/sarah.jpg?rlkey=4otolrzhcjxlqo21ynxeisxz2&amp;dl=0","Click to download Image")</f>
      </c>
      <c r="B2977" s="0">
        <f>HYPERLINK("https://dl.dropboxusercontent.com/scl/fi/kgpzlzgyz3sbw3jtywf5d/size-charttoddler-a.jpg?rlkey=9s3oo3pigz8cjke7esjlno8si&amp;dl=0","Click to download SizeChart")</f>
      </c>
      <c r="C2977" s="0" t="inlineStr">
        <is>
          <t>Sarah Toddler Short Sleeve T-Shirt</t>
        </is>
      </c>
      <c r="D2977" s="1">
        <v>95660</v>
      </c>
      <c r="E2977" s="0" t="inlineStr">
        <is>
          <t>SARAH:95660A-2T</t>
        </is>
      </c>
      <c r="G2977" s="0" t="inlineStr">
        <is>
          <t>TODDLER</t>
        </is>
      </c>
      <c r="H2977" s="0" t="inlineStr">
        <is>
          <t>2T</t>
        </is>
      </c>
      <c r="I2977" s="0">
        <v>24.99</v>
      </c>
      <c r="J2977" s="0">
        <v>93</v>
      </c>
    </row>
    <row r="2978" spans="1:10" customHeight="0">
      <c r="A2978" s="0">
        <f>HYPERLINK("https://dl.dropboxusercontent.com/scl/fi/e0ahxlb3hzqp67i617qmp/sarah.jpg?rlkey=4otolrzhcjxlqo21ynxeisxz2&amp;dl=0","Click to download Image")</f>
      </c>
      <c r="B2978" s="0">
        <f>HYPERLINK("https://dl.dropboxusercontent.com/scl/fi/kgpzlzgyz3sbw3jtywf5d/size-charttoddler-a.jpg?rlkey=9s3oo3pigz8cjke7esjlno8si&amp;dl=0","Click to download SizeChart")</f>
      </c>
      <c r="C2978" s="0" t="inlineStr">
        <is>
          <t>Sarah Toddler Short Sleeve T-Shirt</t>
        </is>
      </c>
      <c r="D2978" s="1">
        <v>95660</v>
      </c>
      <c r="E2978" s="0" t="inlineStr">
        <is>
          <t>SARAH:95660B-3T</t>
        </is>
      </c>
      <c r="G2978" s="0" t="inlineStr">
        <is>
          <t>TODDLER</t>
        </is>
      </c>
      <c r="H2978" s="0" t="inlineStr">
        <is>
          <t>3T</t>
        </is>
      </c>
      <c r="I2978" s="0">
        <v>24.99</v>
      </c>
      <c r="J2978" s="0">
        <v>92</v>
      </c>
    </row>
    <row r="2979" spans="1:10" customHeight="0">
      <c r="A2979" s="0">
        <f>HYPERLINK("https://dl.dropboxusercontent.com/scl/fi/e0ahxlb3hzqp67i617qmp/sarah.jpg?rlkey=4otolrzhcjxlqo21ynxeisxz2&amp;dl=0","Click to download Image")</f>
      </c>
      <c r="B2979" s="0">
        <f>HYPERLINK("https://dl.dropboxusercontent.com/scl/fi/kgpzlzgyz3sbw3jtywf5d/size-charttoddler-a.jpg?rlkey=9s3oo3pigz8cjke7esjlno8si&amp;dl=0","Click to download SizeChart")</f>
      </c>
      <c r="C2979" s="0" t="inlineStr">
        <is>
          <t>Sarah Toddler Short Sleeve T-Shirt</t>
        </is>
      </c>
      <c r="D2979" s="1">
        <v>95660</v>
      </c>
      <c r="E2979" s="0" t="inlineStr">
        <is>
          <t>SARAH:95660C-4T</t>
        </is>
      </c>
      <c r="G2979" s="0" t="inlineStr">
        <is>
          <t>TODDLER</t>
        </is>
      </c>
      <c r="H2979" s="0" t="inlineStr">
        <is>
          <t>4T</t>
        </is>
      </c>
      <c r="I2979" s="0">
        <v>24.99</v>
      </c>
      <c r="J2979" s="0">
        <v>90</v>
      </c>
    </row>
    <row r="2980" spans="1:10" customHeight="0">
      <c r="A2980" s="0">
        <f>HYPERLINK("https://dl.dropboxusercontent.com/scl/fi/e0ahxlb3hzqp67i617qmp/sarah.jpg?rlkey=4otolrzhcjxlqo21ynxeisxz2&amp;dl=0","Click to download Image")</f>
      </c>
      <c r="B2980" s="0">
        <f>HYPERLINK("https://dl.dropboxusercontent.com/scl/fi/kgpzlzgyz3sbw3jtywf5d/size-charttoddler-a.jpg?rlkey=9s3oo3pigz8cjke7esjlno8si&amp;dl=0","Click to download SizeChart")</f>
      </c>
      <c r="C2980" s="0" t="inlineStr">
        <is>
          <t>Sarah Toddler Short Sleeve T-Shirt</t>
        </is>
      </c>
      <c r="D2980" s="1">
        <v>95660</v>
      </c>
      <c r="E2980" s="0" t="inlineStr">
        <is>
          <t>SARAH:95660D-5T</t>
        </is>
      </c>
      <c r="G2980" s="0" t="inlineStr">
        <is>
          <t>TODDLER</t>
        </is>
      </c>
      <c r="H2980" s="0" t="inlineStr">
        <is>
          <t>5T</t>
        </is>
      </c>
      <c r="I2980" s="0">
        <v>24.99</v>
      </c>
      <c r="J2980" s="0">
        <v>93</v>
      </c>
    </row>
    <row r="2981" spans="1:10" customHeight="0">
      <c r="A2981" s="0">
        <f>HYPERLINK("https://dl.dropboxusercontent.com/scl/fi/4gcrsnneadhye5h9xeh61/95284f.jpg?rlkey=8fazlm3nt27hts8ytko3nkdtn&amp;dl=0","Click to download Image")</f>
      </c>
      <c r="B2981" s="0">
        <f>HYPERLINK("https://dl.dropboxusercontent.com/scl/fi/ecr88kv8pwbmofmq9i4fn/size-chartyouth-b.jpg?rlkey=5zu46kbeak8xxzroawkk3jt4m&amp;dl=0","Click to download SizeChart")</f>
      </c>
      <c r="C2981" s="0" t="inlineStr">
        <is>
          <t>Samuel Youth T-Shirt Hoodie</t>
        </is>
      </c>
      <c r="D2981" s="1">
        <v>95284</v>
      </c>
      <c r="E2981" s="0" t="inlineStr">
        <is>
          <t>SAMUEL:95284A-S</t>
        </is>
      </c>
      <c r="G2981" s="0" t="inlineStr">
        <is>
          <t>YOUTH</t>
        </is>
      </c>
      <c r="H2981" s="0" t="inlineStr">
        <is>
          <t>YS</t>
        </is>
      </c>
      <c r="I2981" s="0">
        <v>39.99</v>
      </c>
      <c r="J2981" s="0">
        <v>94</v>
      </c>
    </row>
    <row r="2982" spans="1:10" customHeight="0">
      <c r="A2982" s="0">
        <f>HYPERLINK("https://dl.dropboxusercontent.com/scl/fi/4gcrsnneadhye5h9xeh61/95284f.jpg?rlkey=8fazlm3nt27hts8ytko3nkdtn&amp;dl=0","Click to download Image")</f>
      </c>
      <c r="B2982" s="0">
        <f>HYPERLINK("https://dl.dropboxusercontent.com/scl/fi/ecr88kv8pwbmofmq9i4fn/size-chartyouth-b.jpg?rlkey=5zu46kbeak8xxzroawkk3jt4m&amp;dl=0","Click to download SizeChart")</f>
      </c>
      <c r="C2982" s="0" t="inlineStr">
        <is>
          <t>Samuel Youth T-Shirt Hoodie</t>
        </is>
      </c>
      <c r="D2982" s="1">
        <v>95284</v>
      </c>
      <c r="E2982" s="0" t="inlineStr">
        <is>
          <t>SAMUEL:95284B-M</t>
        </is>
      </c>
      <c r="G2982" s="0" t="inlineStr">
        <is>
          <t>YOUTH</t>
        </is>
      </c>
      <c r="H2982" s="0" t="inlineStr">
        <is>
          <t>YM</t>
        </is>
      </c>
      <c r="I2982" s="0">
        <v>39.99</v>
      </c>
      <c r="J2982" s="0">
        <v>88</v>
      </c>
    </row>
    <row r="2983" spans="1:10" customHeight="0">
      <c r="A2983" s="0">
        <f>HYPERLINK("https://dl.dropboxusercontent.com/scl/fi/4gcrsnneadhye5h9xeh61/95284f.jpg?rlkey=8fazlm3nt27hts8ytko3nkdtn&amp;dl=0","Click to download Image")</f>
      </c>
      <c r="B2983" s="0">
        <f>HYPERLINK("https://dl.dropboxusercontent.com/scl/fi/ecr88kv8pwbmofmq9i4fn/size-chartyouth-b.jpg?rlkey=5zu46kbeak8xxzroawkk3jt4m&amp;dl=0","Click to download SizeChart")</f>
      </c>
      <c r="C2983" s="0" t="inlineStr">
        <is>
          <t>Samuel Youth T-Shirt Hoodie</t>
        </is>
      </c>
      <c r="D2983" s="1">
        <v>95284</v>
      </c>
      <c r="E2983" s="0" t="inlineStr">
        <is>
          <t>SAMUEL:95284C-L</t>
        </is>
      </c>
      <c r="G2983" s="0" t="inlineStr">
        <is>
          <t>YOUTH</t>
        </is>
      </c>
      <c r="H2983" s="0" t="inlineStr">
        <is>
          <t>YL</t>
        </is>
      </c>
      <c r="I2983" s="0">
        <v>39.99</v>
      </c>
      <c r="J2983" s="0">
        <v>90</v>
      </c>
    </row>
    <row r="2984" spans="1:10" customHeight="0">
      <c r="A2984" s="0">
        <f>HYPERLINK("https://dl.dropboxusercontent.com/scl/fi/4gcrsnneadhye5h9xeh61/95284f.jpg?rlkey=8fazlm3nt27hts8ytko3nkdtn&amp;dl=0","Click to download Image")</f>
      </c>
      <c r="B2984" s="0">
        <f>HYPERLINK("https://dl.dropboxusercontent.com/scl/fi/ecr88kv8pwbmofmq9i4fn/size-chartyouth-b.jpg?rlkey=5zu46kbeak8xxzroawkk3jt4m&amp;dl=0","Click to download SizeChart")</f>
      </c>
      <c r="C2984" s="0" t="inlineStr">
        <is>
          <t>Samuel Youth T-Shirt Hoodie</t>
        </is>
      </c>
      <c r="D2984" s="1">
        <v>95284</v>
      </c>
      <c r="E2984" s="0" t="inlineStr">
        <is>
          <t>SAMUEL:95284D-XL</t>
        </is>
      </c>
      <c r="G2984" s="0" t="inlineStr">
        <is>
          <t>YOUTH</t>
        </is>
      </c>
      <c r="H2984" s="0" t="inlineStr">
        <is>
          <t>YXL</t>
        </is>
      </c>
      <c r="I2984" s="0">
        <v>39.99</v>
      </c>
      <c r="J2984" s="0">
        <v>87</v>
      </c>
    </row>
    <row r="2985" spans="1:10" customHeight="0">
      <c r="A2985" s="0">
        <f>HYPERLINK("https://dl.dropboxusercontent.com/scl/fi/ngcvdh5cnietbvkdft00j/130383-ff.jpg?rlkey=970vdgcyt9nth1lm3hwu1b9p5&amp;dl=0","Click to download Image")</f>
      </c>
      <c r="C2985" s="0" t="inlineStr">
        <is>
          <t>Cersei Infant Cuffed Beanie</t>
        </is>
      </c>
      <c r="D2985" s="1">
        <v>130383</v>
      </c>
      <c r="E2985" s="0" t="inlineStr">
        <is>
          <t>IOWA CERSEI I BK:130383</t>
        </is>
      </c>
      <c r="F2985" s="2">
        <v>700130383010</v>
      </c>
      <c r="G2985" s="0" t="inlineStr">
        <is>
          <t>INFANT</t>
        </is>
      </c>
      <c r="H2985" s="0" t="inlineStr">
        <is>
          <t>INFANT</t>
        </is>
      </c>
      <c r="I2985" s="0">
        <v>24.99</v>
      </c>
      <c r="J2985" s="0">
        <v>37</v>
      </c>
    </row>
    <row r="2986" spans="1:10" customHeight="0">
      <c r="A2986" s="0">
        <f>HYPERLINK("https://dl.dropboxusercontent.com/scl/fi/a53lqvlttak98izmloeg0/130380-ff.jpg?rlkey=4bumjz3lrpcqjdp50plaxq2k1&amp;dl=0","Click to download Image")</f>
      </c>
      <c r="C2986" s="0" t="inlineStr">
        <is>
          <t>Cersei Toddler Cuffed Beanie</t>
        </is>
      </c>
      <c r="D2986" s="1">
        <v>130380</v>
      </c>
      <c r="E2986" s="0" t="inlineStr">
        <is>
          <t>IOWA CERSEI T BK:130380</t>
        </is>
      </c>
      <c r="F2986" s="2">
        <v>700130380019</v>
      </c>
      <c r="G2986" s="0" t="inlineStr">
        <is>
          <t>TODDLER</t>
        </is>
      </c>
      <c r="H2986" s="0" t="inlineStr">
        <is>
          <t>TODDLER</t>
        </is>
      </c>
      <c r="I2986" s="0">
        <v>24.99</v>
      </c>
      <c r="J2986" s="0">
        <v>4</v>
      </c>
    </row>
    <row r="2987" spans="1:10" customHeight="0">
      <c r="A2987" s="0">
        <f>HYPERLINK("https://dl.dropboxusercontent.com/scl/fi/lr9rdabqi518lg3j9lyyu/101157-af.jpg?rlkey=25p8uot0nt5lo70m21ha6z8f9&amp;dl=0","Click to download Image")</f>
      </c>
      <c r="C2987" s="0" t="inlineStr">
        <is>
          <t>Noel Youth Cap</t>
        </is>
      </c>
      <c r="D2987" s="1">
        <v>101157</v>
      </c>
      <c r="E2987" s="0" t="inlineStr">
        <is>
          <t>NOEL:101157</t>
        </is>
      </c>
      <c r="G2987" s="0" t="inlineStr">
        <is>
          <t>YOUTH</t>
        </is>
      </c>
      <c r="H2987" s="0" t="inlineStr">
        <is>
          <t>YOUTH</t>
        </is>
      </c>
      <c r="I2987" s="0">
        <v>18.99</v>
      </c>
      <c r="J2987" s="0">
        <v>40</v>
      </c>
    </row>
    <row r="2988" spans="1:10" customHeight="0">
      <c r="A2988" s="0">
        <f>HYPERLINK("https://dl.dropboxusercontent.com/scl/fi/w5t3sagwnss8lfc0qc1d8/101157-af.jpg?rlkey=m4t31nuv5bdi2hmrvc57wtsmz&amp;dl=0","Click to download Image")</f>
      </c>
      <c r="C2988" s="0" t="inlineStr">
        <is>
          <t>Noel Toddler Cap</t>
        </is>
      </c>
      <c r="D2988" s="1">
        <v>101887</v>
      </c>
      <c r="E2988" s="0" t="inlineStr">
        <is>
          <t>NOEL:101887</t>
        </is>
      </c>
      <c r="G2988" s="0" t="inlineStr">
        <is>
          <t>TODDLER</t>
        </is>
      </c>
      <c r="H2988" s="0" t="inlineStr">
        <is>
          <t>TODDLER</t>
        </is>
      </c>
      <c r="I2988" s="0">
        <v>18.99</v>
      </c>
      <c r="J2988" s="0">
        <v>65</v>
      </c>
    </row>
    <row r="2989" spans="1:10" customHeight="0">
      <c r="A2989" s="0">
        <f>HYPERLINK("https://dl.dropboxusercontent.com/scl/fi/1q0udify61035nxttegph/ozark.jpg?rlkey=9dp9j5r1brgnols3udtk0pfre&amp;dl=0","Click to download Image")</f>
      </c>
      <c r="B2989" s="0">
        <f>HYPERLINK("https://dl.dropboxusercontent.com/scl/fi/y97y1pp9ac2m4f9vvla4l/mens-jackets-size-charts-ozark.jpg?rlkey=qqoxej9ce5uvmyaw5gvlziw9z&amp;dl=0","Click to download SizeChart")</f>
      </c>
      <c r="C2989" s="0" t="inlineStr">
        <is>
          <t>Ozark Track Jacket</t>
        </is>
      </c>
      <c r="D2989" s="1">
        <v>106738</v>
      </c>
      <c r="E2989" s="0" t="inlineStr">
        <is>
          <t>IA OZARK:106738A-S</t>
        </is>
      </c>
      <c r="F2989" s="2">
        <v>800106738018</v>
      </c>
      <c r="G2989" s="0" t="inlineStr">
        <is>
          <t>MENS</t>
        </is>
      </c>
      <c r="H2989" s="0" t="inlineStr">
        <is>
          <t>S</t>
        </is>
      </c>
      <c r="I2989" s="0">
        <v>49.99</v>
      </c>
      <c r="J2989" s="0">
        <v>0</v>
      </c>
    </row>
    <row r="2990" spans="1:10" customHeight="0">
      <c r="A2990" s="0">
        <f>HYPERLINK("https://dl.dropboxusercontent.com/scl/fi/1q0udify61035nxttegph/ozark.jpg?rlkey=9dp9j5r1brgnols3udtk0pfre&amp;dl=0","Click to download Image")</f>
      </c>
      <c r="B2990" s="0">
        <f>HYPERLINK("https://dl.dropboxusercontent.com/scl/fi/y97y1pp9ac2m4f9vvla4l/mens-jackets-size-charts-ozark.jpg?rlkey=qqoxej9ce5uvmyaw5gvlziw9z&amp;dl=0","Click to download SizeChart")</f>
      </c>
      <c r="C2990" s="0" t="inlineStr">
        <is>
          <t>Ozark Track Jacket</t>
        </is>
      </c>
      <c r="D2990" s="1">
        <v>106738</v>
      </c>
      <c r="E2990" s="0" t="inlineStr">
        <is>
          <t>IA OZARK:106738B-M</t>
        </is>
      </c>
      <c r="F2990" s="2">
        <v>800106738025</v>
      </c>
      <c r="G2990" s="0" t="inlineStr">
        <is>
          <t>MENS</t>
        </is>
      </c>
      <c r="H2990" s="0" t="inlineStr">
        <is>
          <t>M</t>
        </is>
      </c>
      <c r="I2990" s="0">
        <v>49.99</v>
      </c>
      <c r="J2990" s="0">
        <v>6</v>
      </c>
    </row>
    <row r="2991" spans="1:10" customHeight="0">
      <c r="A2991" s="0">
        <f>HYPERLINK("https://dl.dropboxusercontent.com/scl/fi/1q0udify61035nxttegph/ozark.jpg?rlkey=9dp9j5r1brgnols3udtk0pfre&amp;dl=0","Click to download Image")</f>
      </c>
      <c r="B2991" s="0">
        <f>HYPERLINK("https://dl.dropboxusercontent.com/scl/fi/y97y1pp9ac2m4f9vvla4l/mens-jackets-size-charts-ozark.jpg?rlkey=qqoxej9ce5uvmyaw5gvlziw9z&amp;dl=0","Click to download SizeChart")</f>
      </c>
      <c r="C2991" s="0" t="inlineStr">
        <is>
          <t>Ozark Track Jacket</t>
        </is>
      </c>
      <c r="D2991" s="1">
        <v>106738</v>
      </c>
      <c r="E2991" s="0" t="inlineStr">
        <is>
          <t>IA OZARK:106738C-L</t>
        </is>
      </c>
      <c r="F2991" s="2">
        <v>800106738032</v>
      </c>
      <c r="G2991" s="0" t="inlineStr">
        <is>
          <t>MENS</t>
        </is>
      </c>
      <c r="H2991" s="0" t="inlineStr">
        <is>
          <t>L</t>
        </is>
      </c>
      <c r="I2991" s="0">
        <v>49.99</v>
      </c>
      <c r="J2991" s="0">
        <v>13</v>
      </c>
    </row>
    <row r="2992" spans="1:10" customHeight="0">
      <c r="A2992" s="0">
        <f>HYPERLINK("https://dl.dropboxusercontent.com/scl/fi/1q0udify61035nxttegph/ozark.jpg?rlkey=9dp9j5r1brgnols3udtk0pfre&amp;dl=0","Click to download Image")</f>
      </c>
      <c r="B2992" s="0">
        <f>HYPERLINK("https://dl.dropboxusercontent.com/scl/fi/y97y1pp9ac2m4f9vvla4l/mens-jackets-size-charts-ozark.jpg?rlkey=qqoxej9ce5uvmyaw5gvlziw9z&amp;dl=0","Click to download SizeChart")</f>
      </c>
      <c r="C2992" s="0" t="inlineStr">
        <is>
          <t>Ozark Track Jacket</t>
        </is>
      </c>
      <c r="D2992" s="1">
        <v>106738</v>
      </c>
      <c r="E2992" s="0" t="inlineStr">
        <is>
          <t>IA OZARK:106738D-XL</t>
        </is>
      </c>
      <c r="F2992" s="2">
        <v>800106738049</v>
      </c>
      <c r="G2992" s="0" t="inlineStr">
        <is>
          <t>MENS</t>
        </is>
      </c>
      <c r="H2992" s="0" t="inlineStr">
        <is>
          <t>XL</t>
        </is>
      </c>
      <c r="I2992" s="0">
        <v>49.99</v>
      </c>
      <c r="J2992" s="0">
        <v>12</v>
      </c>
    </row>
    <row r="2993" spans="1:10" customHeight="0">
      <c r="A2993" s="0">
        <f>HYPERLINK("https://dl.dropboxusercontent.com/scl/fi/1q0udify61035nxttegph/ozark.jpg?rlkey=9dp9j5r1brgnols3udtk0pfre&amp;dl=0","Click to download Image")</f>
      </c>
      <c r="B2993" s="0">
        <f>HYPERLINK("https://dl.dropboxusercontent.com/scl/fi/y97y1pp9ac2m4f9vvla4l/mens-jackets-size-charts-ozark.jpg?rlkey=qqoxej9ce5uvmyaw5gvlziw9z&amp;dl=0","Click to download SizeChart")</f>
      </c>
      <c r="C2993" s="0" t="inlineStr">
        <is>
          <t>Ozark Track Jacket</t>
        </is>
      </c>
      <c r="D2993" s="1">
        <v>106738</v>
      </c>
      <c r="E2993" s="0" t="inlineStr">
        <is>
          <t>IA OZARK:106738E-2XL</t>
        </is>
      </c>
      <c r="F2993" s="2">
        <v>800106738056</v>
      </c>
      <c r="G2993" s="0" t="inlineStr">
        <is>
          <t>MENS</t>
        </is>
      </c>
      <c r="H2993" s="0" t="inlineStr">
        <is>
          <t>2XL</t>
        </is>
      </c>
      <c r="I2993" s="0">
        <v>51.99</v>
      </c>
      <c r="J2993" s="0">
        <v>9</v>
      </c>
    </row>
    <row r="2994" spans="1:10" customHeight="0">
      <c r="A2994" s="0">
        <f>HYPERLINK("https://dl.dropboxusercontent.com/scl/fi/1q0udify61035nxttegph/ozark.jpg?rlkey=9dp9j5r1brgnols3udtk0pfre&amp;dl=0","Click to download Image")</f>
      </c>
      <c r="B2994" s="0">
        <f>HYPERLINK("https://dl.dropboxusercontent.com/scl/fi/y97y1pp9ac2m4f9vvla4l/mens-jackets-size-charts-ozark.jpg?rlkey=qqoxej9ce5uvmyaw5gvlziw9z&amp;dl=0","Click to download SizeChart")</f>
      </c>
      <c r="C2994" s="0" t="inlineStr">
        <is>
          <t>Ozark Track Jacket</t>
        </is>
      </c>
      <c r="D2994" s="1">
        <v>106738</v>
      </c>
      <c r="E2994" s="0" t="inlineStr">
        <is>
          <t>IA OZARK:106738F-3XL</t>
        </is>
      </c>
      <c r="F2994" s="2">
        <v>800106738063</v>
      </c>
      <c r="G2994" s="0" t="inlineStr">
        <is>
          <t>MENS</t>
        </is>
      </c>
      <c r="H2994" s="0" t="inlineStr">
        <is>
          <t>3XL</t>
        </is>
      </c>
      <c r="I2994" s="0">
        <v>51.99</v>
      </c>
      <c r="J2994" s="0">
        <v>2</v>
      </c>
    </row>
    <row r="2995" spans="1:10" customHeight="0">
      <c r="A2995" s="0">
        <f>HYPERLINK("https://dl.dropboxusercontent.com/scl/fi/16dlgds5kqpm7qzbttv89/98541-af.jpg?rlkey=e80mcm6zi8siw8hrvutnedy1l&amp;dl=0","Click to download Image")</f>
      </c>
      <c r="C2995" s="0" t="inlineStr">
        <is>
          <t>Lincoln Infant Camo Trapper</t>
        </is>
      </c>
      <c r="D2995" s="1">
        <v>98541</v>
      </c>
      <c r="E2995" s="0" t="inlineStr">
        <is>
          <t>LINCOLN:98541</t>
        </is>
      </c>
      <c r="G2995" s="0" t="inlineStr">
        <is>
          <t>INFANT</t>
        </is>
      </c>
      <c r="H2995" s="0" t="inlineStr">
        <is>
          <t>INFANT</t>
        </is>
      </c>
      <c r="I2995" s="0">
        <v>19.99</v>
      </c>
      <c r="J2995" s="0">
        <v>124</v>
      </c>
    </row>
    <row r="2996" spans="1:10" customHeight="0">
      <c r="A2996" s="0">
        <f>HYPERLINK("https://dl.dropboxusercontent.com/scl/fi/cqbzddxnkjzdj5893lzva/101881-af.jpg?rlkey=33ik0whps0cu5sudgeg7pp8n5&amp;dl=0","Click to download Image")</f>
      </c>
      <c r="C2996" s="0" t="inlineStr">
        <is>
          <t>Fran Youth Beanie</t>
        </is>
      </c>
      <c r="D2996" s="1">
        <v>101881</v>
      </c>
      <c r="E2996" s="0" t="inlineStr">
        <is>
          <t>FRAN:101881</t>
        </is>
      </c>
      <c r="G2996" s="0" t="inlineStr">
        <is>
          <t>YOUTH</t>
        </is>
      </c>
      <c r="H2996" s="0" t="inlineStr">
        <is>
          <t>YOUTH</t>
        </is>
      </c>
      <c r="I2996" s="0">
        <v>22.99</v>
      </c>
      <c r="J2996" s="0">
        <v>123</v>
      </c>
    </row>
    <row r="2997" spans="1:10" customHeight="0">
      <c r="A2997" s="0">
        <f>HYPERLINK("https://dl.dropboxusercontent.com/scl/fi/fksq93kikgma0ophr6qzg/99896-f.jpg?rlkey=v31jqjau13whomql1shqehmss&amp;dl=0","Click to download Image")</f>
      </c>
      <c r="B2997" s="0">
        <f>HYPERLINK("https://dl.dropboxusercontent.com/scl/fi/5m7j1j1tjs78hwnpfh0kp/size-chartswomens-standard-relaxed-fit.jpg?rlkey=eaubx8pddiehrqkz42jfuzw3d&amp;dl=0","Click to download SizeChart")</f>
      </c>
      <c r="C2997" s="0" t="inlineStr">
        <is>
          <t>Samara Women's Fleece Hoodie</t>
        </is>
      </c>
      <c r="D2997" s="1">
        <v>99896</v>
      </c>
      <c r="E2997" s="0" t="inlineStr">
        <is>
          <t>SAMARA:99896A-S</t>
        </is>
      </c>
      <c r="G2997" s="0" t="inlineStr">
        <is>
          <t>WOMENS</t>
        </is>
      </c>
      <c r="H2997" s="0" t="inlineStr">
        <is>
          <t>S</t>
        </is>
      </c>
      <c r="I2997" s="0">
        <v>49.99</v>
      </c>
      <c r="J2997" s="0">
        <v>8</v>
      </c>
    </row>
    <row r="2998" spans="1:10" customHeight="0">
      <c r="A2998" s="0">
        <f>HYPERLINK("https://dl.dropboxusercontent.com/scl/fi/fksq93kikgma0ophr6qzg/99896-f.jpg?rlkey=v31jqjau13whomql1shqehmss&amp;dl=0","Click to download Image")</f>
      </c>
      <c r="B2998" s="0">
        <f>HYPERLINK("https://dl.dropboxusercontent.com/scl/fi/5m7j1j1tjs78hwnpfh0kp/size-chartswomens-standard-relaxed-fit.jpg?rlkey=eaubx8pddiehrqkz42jfuzw3d&amp;dl=0","Click to download SizeChart")</f>
      </c>
      <c r="C2998" s="0" t="inlineStr">
        <is>
          <t>Samara Women's Fleece Hoodie</t>
        </is>
      </c>
      <c r="D2998" s="1">
        <v>99896</v>
      </c>
      <c r="E2998" s="0" t="inlineStr">
        <is>
          <t>SAMARA:99896B-M</t>
        </is>
      </c>
      <c r="G2998" s="0" t="inlineStr">
        <is>
          <t>WOMENS</t>
        </is>
      </c>
      <c r="H2998" s="0" t="inlineStr">
        <is>
          <t>M</t>
        </is>
      </c>
      <c r="I2998" s="0">
        <v>49.99</v>
      </c>
      <c r="J2998" s="0">
        <v>0</v>
      </c>
    </row>
    <row r="2999" spans="1:10" customHeight="0">
      <c r="A2999" s="0">
        <f>HYPERLINK("https://dl.dropboxusercontent.com/scl/fi/fksq93kikgma0ophr6qzg/99896-f.jpg?rlkey=v31jqjau13whomql1shqehmss&amp;dl=0","Click to download Image")</f>
      </c>
      <c r="B2999" s="0">
        <f>HYPERLINK("https://dl.dropboxusercontent.com/scl/fi/5m7j1j1tjs78hwnpfh0kp/size-chartswomens-standard-relaxed-fit.jpg?rlkey=eaubx8pddiehrqkz42jfuzw3d&amp;dl=0","Click to download SizeChart")</f>
      </c>
      <c r="C2999" s="0" t="inlineStr">
        <is>
          <t>Samara Women's Fleece Hoodie</t>
        </is>
      </c>
      <c r="D2999" s="1">
        <v>99896</v>
      </c>
      <c r="E2999" s="0" t="inlineStr">
        <is>
          <t>SAMARA:99896D-XL</t>
        </is>
      </c>
      <c r="G2999" s="0" t="inlineStr">
        <is>
          <t>WOMENS</t>
        </is>
      </c>
      <c r="H2999" s="0" t="inlineStr">
        <is>
          <t>XL</t>
        </is>
      </c>
      <c r="I2999" s="0">
        <v>49.99</v>
      </c>
      <c r="J2999" s="0">
        <v>17</v>
      </c>
    </row>
    <row r="3000" spans="1:10" customHeight="0">
      <c r="A3000" s="0">
        <f>HYPERLINK("https://dl.dropboxusercontent.com/scl/fi/fksq93kikgma0ophr6qzg/99896-f.jpg?rlkey=v31jqjau13whomql1shqehmss&amp;dl=0","Click to download Image")</f>
      </c>
      <c r="B3000" s="0">
        <f>HYPERLINK("https://dl.dropboxusercontent.com/scl/fi/5m7j1j1tjs78hwnpfh0kp/size-chartswomens-standard-relaxed-fit.jpg?rlkey=eaubx8pddiehrqkz42jfuzw3d&amp;dl=0","Click to download SizeChart")</f>
      </c>
      <c r="C3000" s="0" t="inlineStr">
        <is>
          <t>Samara Women's Fleece Hoodie</t>
        </is>
      </c>
      <c r="D3000" s="1">
        <v>99896</v>
      </c>
      <c r="E3000" s="0" t="inlineStr">
        <is>
          <t>SAMARA:99896E-2XL</t>
        </is>
      </c>
      <c r="G3000" s="0" t="inlineStr">
        <is>
          <t>WOMENS</t>
        </is>
      </c>
      <c r="H3000" s="0" t="inlineStr">
        <is>
          <t>2XL</t>
        </is>
      </c>
      <c r="I3000" s="0">
        <v>51.99</v>
      </c>
      <c r="J3000" s="0">
        <v>31</v>
      </c>
    </row>
    <row r="3001" spans="1:10" customHeight="0">
      <c r="A3001" s="0">
        <f>HYPERLINK("https://dl.dropboxusercontent.com/scl/fi/fksq93kikgma0ophr6qzg/99896-f.jpg?rlkey=v31jqjau13whomql1shqehmss&amp;dl=0","Click to download Image")</f>
      </c>
      <c r="B3001" s="0">
        <f>HYPERLINK("https://dl.dropboxusercontent.com/scl/fi/5m7j1j1tjs78hwnpfh0kp/size-chartswomens-standard-relaxed-fit.jpg?rlkey=eaubx8pddiehrqkz42jfuzw3d&amp;dl=0","Click to download SizeChart")</f>
      </c>
      <c r="C3001" s="0" t="inlineStr">
        <is>
          <t>Samara Women's Fleece Hoodie</t>
        </is>
      </c>
      <c r="D3001" s="1">
        <v>99896</v>
      </c>
      <c r="E3001" s="0" t="inlineStr">
        <is>
          <t>SAMARA:99896F-3XL</t>
        </is>
      </c>
      <c r="G3001" s="0" t="inlineStr">
        <is>
          <t>WOMENS</t>
        </is>
      </c>
      <c r="H3001" s="0" t="inlineStr">
        <is>
          <t>3XL</t>
        </is>
      </c>
      <c r="I3001" s="0">
        <v>51.99</v>
      </c>
      <c r="J3001" s="0">
        <v>6</v>
      </c>
    </row>
    <row r="3002" spans="1:10" customHeight="0">
      <c r="A3002" s="0">
        <f>HYPERLINK("https://dl.dropboxusercontent.com/scl/fi/6ksk7ccwptvwiq7az9uem/107167af31177.jpg?rlkey=ap3njgo2q9qr2zcfmgolo3znu&amp;dl=0","Click to download Image")</f>
      </c>
      <c r="C3002" s="0" t="inlineStr">
        <is>
          <t>Portland Headband</t>
        </is>
      </c>
      <c r="D3002" s="1">
        <v>107164</v>
      </c>
      <c r="E3002" s="0" t="inlineStr">
        <is>
          <t>IOWA PORTLAND:107164</t>
        </is>
      </c>
      <c r="F3002" s="2">
        <v>700107164017</v>
      </c>
      <c r="G3002" s="0" t="inlineStr">
        <is>
          <t>WOMENS</t>
        </is>
      </c>
      <c r="H3002" s="0" t="inlineStr">
        <is>
          <t>WOMENS</t>
        </is>
      </c>
      <c r="I3002" s="0">
        <v>24.99</v>
      </c>
      <c r="J3002" s="0">
        <v>195</v>
      </c>
    </row>
    <row r="3003" spans="1:10" customHeight="0">
      <c r="A3003" s="0">
        <f>HYPERLINK("https://dl.dropboxusercontent.com/scl/fi/qxgp1d0zpk2u4g0vteo8g/darby.jpg?rlkey=76irajswo0jzvn2d37d5pq2jd&amp;dl=0","Click to download Image")</f>
      </c>
      <c r="C3003" s="0" t="inlineStr">
        <is>
          <t>Darby Teddy Bear Cap</t>
        </is>
      </c>
      <c r="D3003" s="1">
        <v>101756</v>
      </c>
      <c r="E3003" s="0" t="inlineStr">
        <is>
          <t>DARBY:101756</t>
        </is>
      </c>
      <c r="F3003" s="2">
        <v>70010175601</v>
      </c>
      <c r="G3003" s="0" t="inlineStr">
        <is>
          <t>INFANT</t>
        </is>
      </c>
      <c r="H3003" s="0" t="inlineStr">
        <is>
          <t>INFANT</t>
        </is>
      </c>
      <c r="I3003" s="0">
        <v>18.99</v>
      </c>
      <c r="J3003" s="0">
        <v>148</v>
      </c>
    </row>
    <row r="3004" spans="1:10" customHeight="0">
      <c r="A3004" s="0">
        <f>HYPERLINK("https://dl.dropboxusercontent.com/scl/fi/1crf20yv5c8yugdeom8m6/101138-af.jpg?rlkey=blnd4x1zwvp98eihgmeqgp1ra&amp;dl=0","Click to download Image")</f>
      </c>
      <c r="B3004" s="0">
        <f>HYPERLINK("https://dl.dropboxusercontent.com/scl/fi/dj1a4gzix5grmkw0wugud/graphic-update2022-mens.jpg?rlkey=815zcq2knti9h9r62r1dnbbvp&amp;dl=0","Click to download SizeChart")</f>
      </c>
      <c r="C3004" s="0" t="inlineStr">
        <is>
          <t>Dale Men's Polo</t>
        </is>
      </c>
      <c r="D3004" s="1">
        <v>101138</v>
      </c>
      <c r="E3004" s="0" t="inlineStr">
        <is>
          <t>DALE:101138A-S</t>
        </is>
      </c>
      <c r="G3004" s="0" t="inlineStr">
        <is>
          <t>MENS</t>
        </is>
      </c>
      <c r="H3004" s="0" t="inlineStr">
        <is>
          <t>S</t>
        </is>
      </c>
      <c r="I3004" s="0">
        <v>44.99</v>
      </c>
      <c r="J3004" s="0">
        <v>63</v>
      </c>
    </row>
    <row r="3005" spans="1:10" customHeight="0">
      <c r="A3005" s="0">
        <f>HYPERLINK("https://dl.dropboxusercontent.com/scl/fi/1crf20yv5c8yugdeom8m6/101138-af.jpg?rlkey=blnd4x1zwvp98eihgmeqgp1ra&amp;dl=0","Click to download Image")</f>
      </c>
      <c r="B3005" s="0">
        <f>HYPERLINK("https://dl.dropboxusercontent.com/scl/fi/dj1a4gzix5grmkw0wugud/graphic-update2022-mens.jpg?rlkey=815zcq2knti9h9r62r1dnbbvp&amp;dl=0","Click to download SizeChart")</f>
      </c>
      <c r="C3005" s="0" t="inlineStr">
        <is>
          <t>Dale Men's Polo</t>
        </is>
      </c>
      <c r="D3005" s="1">
        <v>101138</v>
      </c>
      <c r="E3005" s="0" t="inlineStr">
        <is>
          <t>DALE:101138B-M</t>
        </is>
      </c>
      <c r="G3005" s="0" t="inlineStr">
        <is>
          <t>MENS</t>
        </is>
      </c>
      <c r="H3005" s="0" t="inlineStr">
        <is>
          <t>M</t>
        </is>
      </c>
      <c r="I3005" s="0">
        <v>44.99</v>
      </c>
      <c r="J3005" s="0">
        <v>60</v>
      </c>
    </row>
    <row r="3006" spans="1:10" customHeight="0">
      <c r="A3006" s="0">
        <f>HYPERLINK("https://dl.dropboxusercontent.com/scl/fi/1crf20yv5c8yugdeom8m6/101138-af.jpg?rlkey=blnd4x1zwvp98eihgmeqgp1ra&amp;dl=0","Click to download Image")</f>
      </c>
      <c r="B3006" s="0">
        <f>HYPERLINK("https://dl.dropboxusercontent.com/scl/fi/dj1a4gzix5grmkw0wugud/graphic-update2022-mens.jpg?rlkey=815zcq2knti9h9r62r1dnbbvp&amp;dl=0","Click to download SizeChart")</f>
      </c>
      <c r="C3006" s="0" t="inlineStr">
        <is>
          <t>Dale Men's Polo</t>
        </is>
      </c>
      <c r="D3006" s="1">
        <v>101138</v>
      </c>
      <c r="E3006" s="0" t="inlineStr">
        <is>
          <t>DALE:101138C-L</t>
        </is>
      </c>
      <c r="G3006" s="0" t="inlineStr">
        <is>
          <t>MENS</t>
        </is>
      </c>
      <c r="H3006" s="0" t="inlineStr">
        <is>
          <t>L</t>
        </is>
      </c>
      <c r="I3006" s="0">
        <v>44.99</v>
      </c>
      <c r="J3006" s="0">
        <v>47</v>
      </c>
    </row>
    <row r="3007" spans="1:10" customHeight="0">
      <c r="A3007" s="0">
        <f>HYPERLINK("https://dl.dropboxusercontent.com/scl/fi/1crf20yv5c8yugdeom8m6/101138-af.jpg?rlkey=blnd4x1zwvp98eihgmeqgp1ra&amp;dl=0","Click to download Image")</f>
      </c>
      <c r="B3007" s="0">
        <f>HYPERLINK("https://dl.dropboxusercontent.com/scl/fi/dj1a4gzix5grmkw0wugud/graphic-update2022-mens.jpg?rlkey=815zcq2knti9h9r62r1dnbbvp&amp;dl=0","Click to download SizeChart")</f>
      </c>
      <c r="C3007" s="0" t="inlineStr">
        <is>
          <t>Dale Men's Polo</t>
        </is>
      </c>
      <c r="D3007" s="1">
        <v>101138</v>
      </c>
      <c r="E3007" s="0" t="inlineStr">
        <is>
          <t>DALE:101138D-XL</t>
        </is>
      </c>
      <c r="G3007" s="0" t="inlineStr">
        <is>
          <t>MENS</t>
        </is>
      </c>
      <c r="H3007" s="0" t="inlineStr">
        <is>
          <t>XL</t>
        </is>
      </c>
      <c r="I3007" s="0">
        <v>44.99</v>
      </c>
      <c r="J3007" s="0">
        <v>51</v>
      </c>
    </row>
    <row r="3008" spans="1:10" customHeight="0">
      <c r="A3008" s="0">
        <f>HYPERLINK("https://dl.dropboxusercontent.com/scl/fi/1crf20yv5c8yugdeom8m6/101138-af.jpg?rlkey=blnd4x1zwvp98eihgmeqgp1ra&amp;dl=0","Click to download Image")</f>
      </c>
      <c r="B3008" s="0">
        <f>HYPERLINK("https://dl.dropboxusercontent.com/scl/fi/dj1a4gzix5grmkw0wugud/graphic-update2022-mens.jpg?rlkey=815zcq2knti9h9r62r1dnbbvp&amp;dl=0","Click to download SizeChart")</f>
      </c>
      <c r="C3008" s="0" t="inlineStr">
        <is>
          <t>Dale Men's Polo</t>
        </is>
      </c>
      <c r="D3008" s="1">
        <v>101138</v>
      </c>
      <c r="E3008" s="0" t="inlineStr">
        <is>
          <t>DALE:101138E-2XL</t>
        </is>
      </c>
      <c r="G3008" s="0" t="inlineStr">
        <is>
          <t>MENS</t>
        </is>
      </c>
      <c r="H3008" s="0" t="inlineStr">
        <is>
          <t>2XL</t>
        </is>
      </c>
      <c r="I3008" s="0">
        <v>46.99</v>
      </c>
      <c r="J3008" s="0">
        <v>40</v>
      </c>
    </row>
    <row r="3009" spans="1:10" customHeight="0">
      <c r="A3009" s="0">
        <f>HYPERLINK("https://dl.dropboxusercontent.com/scl/fi/1crf20yv5c8yugdeom8m6/101138-af.jpg?rlkey=blnd4x1zwvp98eihgmeqgp1ra&amp;dl=0","Click to download Image")</f>
      </c>
      <c r="B3009" s="0">
        <f>HYPERLINK("https://dl.dropboxusercontent.com/scl/fi/dj1a4gzix5grmkw0wugud/graphic-update2022-mens.jpg?rlkey=815zcq2knti9h9r62r1dnbbvp&amp;dl=0","Click to download SizeChart")</f>
      </c>
      <c r="C3009" s="0" t="inlineStr">
        <is>
          <t>Dale Men's Polo</t>
        </is>
      </c>
      <c r="D3009" s="1">
        <v>101138</v>
      </c>
      <c r="E3009" s="0" t="inlineStr">
        <is>
          <t>DALE:101138F-3XL</t>
        </is>
      </c>
      <c r="G3009" s="0" t="inlineStr">
        <is>
          <t>MENS</t>
        </is>
      </c>
      <c r="H3009" s="0" t="inlineStr">
        <is>
          <t>3XL</t>
        </is>
      </c>
      <c r="I3009" s="0">
        <v>46.99</v>
      </c>
      <c r="J3009" s="0">
        <v>16</v>
      </c>
    </row>
    <row r="3010" spans="1:10" customHeight="0">
      <c r="A3010" s="0">
        <f>HYPERLINK("https://dl.dropboxusercontent.com/scl/fi/xqr9c3hgcknmasfmwdm8h/95538f.jpg?rlkey=kabnmpqcod4ucuf6fxtmeemug&amp;dl=0","Click to download Image")</f>
      </c>
      <c r="C3010" s="0" t="inlineStr">
        <is>
          <t>Samantha Youth Jacket</t>
        </is>
      </c>
      <c r="D3010" s="1">
        <v>95538</v>
      </c>
      <c r="E3010" s="0" t="inlineStr">
        <is>
          <t>SAMANTHA:95538A-S</t>
        </is>
      </c>
      <c r="G3010" s="0" t="inlineStr">
        <is>
          <t>YOUTH</t>
        </is>
      </c>
      <c r="H3010" s="0" t="inlineStr">
        <is>
          <t>YS</t>
        </is>
      </c>
      <c r="I3010" s="0">
        <v>39.99</v>
      </c>
      <c r="J3010" s="0">
        <v>103</v>
      </c>
    </row>
    <row r="3011" spans="1:10" customHeight="0">
      <c r="A3011" s="0">
        <f>HYPERLINK("https://dl.dropboxusercontent.com/scl/fi/xqr9c3hgcknmasfmwdm8h/95538f.jpg?rlkey=kabnmpqcod4ucuf6fxtmeemug&amp;dl=0","Click to download Image")</f>
      </c>
      <c r="C3011" s="0" t="inlineStr">
        <is>
          <t>Samantha Youth Jacket</t>
        </is>
      </c>
      <c r="D3011" s="1">
        <v>95538</v>
      </c>
      <c r="E3011" s="0" t="inlineStr">
        <is>
          <t>SAMANTHA:95538B-M</t>
        </is>
      </c>
      <c r="G3011" s="0" t="inlineStr">
        <is>
          <t>YOUTH</t>
        </is>
      </c>
      <c r="H3011" s="0" t="inlineStr">
        <is>
          <t>YM</t>
        </is>
      </c>
      <c r="I3011" s="0">
        <v>39.99</v>
      </c>
      <c r="J3011" s="0">
        <v>99</v>
      </c>
    </row>
    <row r="3012" spans="1:10" customHeight="0">
      <c r="A3012" s="0">
        <f>HYPERLINK("https://dl.dropboxusercontent.com/scl/fi/xqr9c3hgcknmasfmwdm8h/95538f.jpg?rlkey=kabnmpqcod4ucuf6fxtmeemug&amp;dl=0","Click to download Image")</f>
      </c>
      <c r="C3012" s="0" t="inlineStr">
        <is>
          <t>Samantha Youth Jacket</t>
        </is>
      </c>
      <c r="D3012" s="1">
        <v>95538</v>
      </c>
      <c r="E3012" s="0" t="inlineStr">
        <is>
          <t>SAMANTHA:95538C-L</t>
        </is>
      </c>
      <c r="G3012" s="0" t="inlineStr">
        <is>
          <t>YOUTH</t>
        </is>
      </c>
      <c r="H3012" s="0" t="inlineStr">
        <is>
          <t>YL</t>
        </is>
      </c>
      <c r="I3012" s="0">
        <v>39.99</v>
      </c>
      <c r="J3012" s="0">
        <v>105</v>
      </c>
    </row>
    <row r="3013" spans="1:10" customHeight="0">
      <c r="A3013" s="0">
        <f>HYPERLINK("https://dl.dropboxusercontent.com/scl/fi/xqr9c3hgcknmasfmwdm8h/95538f.jpg?rlkey=kabnmpqcod4ucuf6fxtmeemug&amp;dl=0","Click to download Image")</f>
      </c>
      <c r="C3013" s="0" t="inlineStr">
        <is>
          <t>Samantha Youth Jacket</t>
        </is>
      </c>
      <c r="D3013" s="1">
        <v>95538</v>
      </c>
      <c r="E3013" s="0" t="inlineStr">
        <is>
          <t>SAMANTHA:95538D-XL</t>
        </is>
      </c>
      <c r="G3013" s="0" t="inlineStr">
        <is>
          <t>YOUTH</t>
        </is>
      </c>
      <c r="H3013" s="0" t="inlineStr">
        <is>
          <t>YXL</t>
        </is>
      </c>
      <c r="I3013" s="0">
        <v>39.99</v>
      </c>
      <c r="J3013" s="0">
        <v>108</v>
      </c>
    </row>
    <row r="3014" spans="1:10" customHeight="0">
      <c r="A3014" s="0">
        <f>HYPERLINK("https://dl.dropboxusercontent.com/scl/fi/iakyqc7fxjzf4v8uv9klp/98812-af.jpg?rlkey=6mi397xyndsy6nd7dd4imx6o5&amp;dl=0","Click to download Image")</f>
      </c>
      <c r="B3014" s="0">
        <f>HYPERLINK("https://dl.dropboxusercontent.com/scl/fi/dtldccomwno6b16mj3c1h/graphic-update22022-toddler.jpg?rlkey=ysboxfdixk3x9ukxj88cf9zt1&amp;dl=0","Click to download SizeChart")</f>
      </c>
      <c r="C3014" s="0" t="inlineStr">
        <is>
          <t>Monika Toddler T-Shirt</t>
        </is>
      </c>
      <c r="D3014" s="1">
        <v>101917</v>
      </c>
      <c r="E3014" s="0" t="inlineStr">
        <is>
          <t>MONICA:101917A-2T</t>
        </is>
      </c>
      <c r="G3014" s="0" t="inlineStr">
        <is>
          <t>TODDLER</t>
        </is>
      </c>
      <c r="H3014" s="0" t="inlineStr">
        <is>
          <t>2T</t>
        </is>
      </c>
      <c r="I3014" s="0">
        <v>29.99</v>
      </c>
      <c r="J3014" s="0">
        <v>9</v>
      </c>
    </row>
    <row r="3015" spans="1:10" customHeight="0">
      <c r="A3015" s="0">
        <f>HYPERLINK("https://dl.dropboxusercontent.com/scl/fi/iakyqc7fxjzf4v8uv9klp/98812-af.jpg?rlkey=6mi397xyndsy6nd7dd4imx6o5&amp;dl=0","Click to download Image")</f>
      </c>
      <c r="B3015" s="0">
        <f>HYPERLINK("https://dl.dropboxusercontent.com/scl/fi/dtldccomwno6b16mj3c1h/graphic-update22022-toddler.jpg?rlkey=ysboxfdixk3x9ukxj88cf9zt1&amp;dl=0","Click to download SizeChart")</f>
      </c>
      <c r="C3015" s="0" t="inlineStr">
        <is>
          <t>Monika Toddler T-Shirt</t>
        </is>
      </c>
      <c r="D3015" s="1">
        <v>101917</v>
      </c>
      <c r="E3015" s="0" t="inlineStr">
        <is>
          <t>MONICA:101917B-3T</t>
        </is>
      </c>
      <c r="G3015" s="0" t="inlineStr">
        <is>
          <t>TODDLER</t>
        </is>
      </c>
      <c r="H3015" s="0" t="inlineStr">
        <is>
          <t>3T</t>
        </is>
      </c>
      <c r="I3015" s="0">
        <v>29.99</v>
      </c>
      <c r="J3015" s="0">
        <v>2</v>
      </c>
    </row>
    <row r="3016" spans="1:10" customHeight="0">
      <c r="A3016" s="0">
        <f>HYPERLINK("https://dl.dropboxusercontent.com/scl/fi/iakyqc7fxjzf4v8uv9klp/98812-af.jpg?rlkey=6mi397xyndsy6nd7dd4imx6o5&amp;dl=0","Click to download Image")</f>
      </c>
      <c r="B3016" s="0">
        <f>HYPERLINK("https://dl.dropboxusercontent.com/scl/fi/dtldccomwno6b16mj3c1h/graphic-update22022-toddler.jpg?rlkey=ysboxfdixk3x9ukxj88cf9zt1&amp;dl=0","Click to download SizeChart")</f>
      </c>
      <c r="C3016" s="0" t="inlineStr">
        <is>
          <t>Monika Toddler T-Shirt</t>
        </is>
      </c>
      <c r="D3016" s="1">
        <v>101917</v>
      </c>
      <c r="E3016" s="0" t="inlineStr">
        <is>
          <t>MONICA:101917C-4T</t>
        </is>
      </c>
      <c r="G3016" s="0" t="inlineStr">
        <is>
          <t>TODDLER</t>
        </is>
      </c>
      <c r="H3016" s="0" t="inlineStr">
        <is>
          <t>4T</t>
        </is>
      </c>
      <c r="I3016" s="0">
        <v>29.99</v>
      </c>
      <c r="J3016" s="0">
        <v>8</v>
      </c>
    </row>
    <row r="3017" spans="1:10" customHeight="0">
      <c r="A3017" s="0">
        <f>HYPERLINK("https://dl.dropboxusercontent.com/scl/fi/iakyqc7fxjzf4v8uv9klp/98812-af.jpg?rlkey=6mi397xyndsy6nd7dd4imx6o5&amp;dl=0","Click to download Image")</f>
      </c>
      <c r="B3017" s="0">
        <f>HYPERLINK("https://dl.dropboxusercontent.com/scl/fi/dtldccomwno6b16mj3c1h/graphic-update22022-toddler.jpg?rlkey=ysboxfdixk3x9ukxj88cf9zt1&amp;dl=0","Click to download SizeChart")</f>
      </c>
      <c r="C3017" s="0" t="inlineStr">
        <is>
          <t>Monika Toddler T-Shirt</t>
        </is>
      </c>
      <c r="D3017" s="1">
        <v>101917</v>
      </c>
      <c r="E3017" s="0" t="inlineStr">
        <is>
          <t>MONICA:101917D-5T</t>
        </is>
      </c>
      <c r="G3017" s="0" t="inlineStr">
        <is>
          <t>TODDLER</t>
        </is>
      </c>
      <c r="H3017" s="0" t="inlineStr">
        <is>
          <t>5T</t>
        </is>
      </c>
      <c r="I3017" s="0">
        <v>29.99</v>
      </c>
      <c r="J3017" s="0">
        <v>10</v>
      </c>
    </row>
    <row r="3018" spans="1:10" customHeight="0">
      <c r="A3018" s="0">
        <f>HYPERLINK("https://dl.dropboxusercontent.com/scl/fi/kc3uvef6750y9i0wc81mv/sage.jpg?rlkey=n45lkzyxyvnhzlmuyi8ax4dzi&amp;dl=0","Click to download Image")</f>
      </c>
      <c r="B3018" s="0">
        <f>HYPERLINK("https://dl.dropboxusercontent.com/scl/fi/vizl2y3v84zw6ikbpg44b/size-chartyouth-e.jpg?rlkey=qqcpk3zwadnx1wi94zmjpvp1l&amp;dl=0","Click to download SizeChart")</f>
      </c>
      <c r="C3018" s="0" t="inlineStr">
        <is>
          <t>Sage Youth Athletic Shorts</t>
        </is>
      </c>
      <c r="D3018" s="1">
        <v>96929</v>
      </c>
      <c r="E3018" s="0" t="inlineStr">
        <is>
          <t>SAGE:96929A-S</t>
        </is>
      </c>
      <c r="G3018" s="0" t="inlineStr">
        <is>
          <t>YOUTH</t>
        </is>
      </c>
      <c r="H3018" s="0" t="inlineStr">
        <is>
          <t>YS</t>
        </is>
      </c>
      <c r="I3018" s="0">
        <v>32.99</v>
      </c>
      <c r="J3018" s="0">
        <v>35</v>
      </c>
    </row>
    <row r="3019" spans="1:10" customHeight="0">
      <c r="A3019" s="0">
        <f>HYPERLINK("https://dl.dropboxusercontent.com/scl/fi/kc3uvef6750y9i0wc81mv/sage.jpg?rlkey=n45lkzyxyvnhzlmuyi8ax4dzi&amp;dl=0","Click to download Image")</f>
      </c>
      <c r="B3019" s="0">
        <f>HYPERLINK("https://dl.dropboxusercontent.com/scl/fi/vizl2y3v84zw6ikbpg44b/size-chartyouth-e.jpg?rlkey=qqcpk3zwadnx1wi94zmjpvp1l&amp;dl=0","Click to download SizeChart")</f>
      </c>
      <c r="C3019" s="0" t="inlineStr">
        <is>
          <t>Sage Youth Athletic Shorts</t>
        </is>
      </c>
      <c r="D3019" s="1">
        <v>96929</v>
      </c>
      <c r="E3019" s="0" t="inlineStr">
        <is>
          <t>SAGE:96929B-M</t>
        </is>
      </c>
      <c r="G3019" s="0" t="inlineStr">
        <is>
          <t>YOUTH</t>
        </is>
      </c>
      <c r="H3019" s="0" t="inlineStr">
        <is>
          <t>YM</t>
        </is>
      </c>
      <c r="I3019" s="0">
        <v>32.99</v>
      </c>
      <c r="J3019" s="0">
        <v>36</v>
      </c>
    </row>
    <row r="3020" spans="1:10" customHeight="0">
      <c r="A3020" s="0">
        <f>HYPERLINK("https://dl.dropboxusercontent.com/scl/fi/kc3uvef6750y9i0wc81mv/sage.jpg?rlkey=n45lkzyxyvnhzlmuyi8ax4dzi&amp;dl=0","Click to download Image")</f>
      </c>
      <c r="B3020" s="0">
        <f>HYPERLINK("https://dl.dropboxusercontent.com/scl/fi/vizl2y3v84zw6ikbpg44b/size-chartyouth-e.jpg?rlkey=qqcpk3zwadnx1wi94zmjpvp1l&amp;dl=0","Click to download SizeChart")</f>
      </c>
      <c r="C3020" s="0" t="inlineStr">
        <is>
          <t>Sage Youth Athletic Shorts</t>
        </is>
      </c>
      <c r="D3020" s="1">
        <v>96929</v>
      </c>
      <c r="E3020" s="0" t="inlineStr">
        <is>
          <t>SAGE:96929C-L</t>
        </is>
      </c>
      <c r="G3020" s="0" t="inlineStr">
        <is>
          <t>YOUTH</t>
        </is>
      </c>
      <c r="H3020" s="0" t="inlineStr">
        <is>
          <t>YL</t>
        </is>
      </c>
      <c r="I3020" s="0">
        <v>32.99</v>
      </c>
      <c r="J3020" s="0">
        <v>37</v>
      </c>
    </row>
    <row r="3021" spans="1:10" customHeight="0">
      <c r="A3021" s="0">
        <f>HYPERLINK("https://dl.dropboxusercontent.com/scl/fi/kc3uvef6750y9i0wc81mv/sage.jpg?rlkey=n45lkzyxyvnhzlmuyi8ax4dzi&amp;dl=0","Click to download Image")</f>
      </c>
      <c r="B3021" s="0">
        <f>HYPERLINK("https://dl.dropboxusercontent.com/scl/fi/vizl2y3v84zw6ikbpg44b/size-chartyouth-e.jpg?rlkey=qqcpk3zwadnx1wi94zmjpvp1l&amp;dl=0","Click to download SizeChart")</f>
      </c>
      <c r="C3021" s="0" t="inlineStr">
        <is>
          <t>Sage Youth Athletic Shorts</t>
        </is>
      </c>
      <c r="D3021" s="1">
        <v>96929</v>
      </c>
      <c r="E3021" s="0" t="inlineStr">
        <is>
          <t>SAGE:96929D-XL</t>
        </is>
      </c>
      <c r="G3021" s="0" t="inlineStr">
        <is>
          <t>YOUTH</t>
        </is>
      </c>
      <c r="H3021" s="0" t="inlineStr">
        <is>
          <t>YXL</t>
        </is>
      </c>
      <c r="I3021" s="0">
        <v>32.99</v>
      </c>
      <c r="J3021" s="0">
        <v>37</v>
      </c>
    </row>
    <row r="3022" spans="1:10" customHeight="0">
      <c r="A3022" s="0">
        <f>HYPERLINK("https://dl.dropboxusercontent.com/scl/fi/wzi5ho88a3l54qgms7gz5/99843f.jpg?rlkey=tdl8uglzyhz8s58buftj9ab3r&amp;dl=0","Click to download Image")</f>
      </c>
      <c r="C3022" s="0" t="inlineStr">
        <is>
          <t>Hayes Infant Bucket Hat</t>
        </is>
      </c>
      <c r="D3022" s="1">
        <v>99843</v>
      </c>
      <c r="E3022" s="0" t="inlineStr">
        <is>
          <t>HAYES:99843</t>
        </is>
      </c>
      <c r="F3022" s="2">
        <v>70009984301</v>
      </c>
      <c r="G3022" s="0" t="inlineStr">
        <is>
          <t>INFANT</t>
        </is>
      </c>
      <c r="H3022" s="0" t="inlineStr">
        <is>
          <t>INFANT</t>
        </is>
      </c>
      <c r="I3022" s="0">
        <v>14.99</v>
      </c>
      <c r="J3022" s="0">
        <v>169</v>
      </c>
    </row>
    <row r="3023" spans="1:10" customHeight="0">
      <c r="A3023" s="0">
        <f>HYPERLINK("https://dl.dropboxusercontent.com/scl/fi/fhrx56r2nknzquauzaqty/sage.jpg?rlkey=bk4ufisij1u488nhfcl5elt6s&amp;dl=0","Click to download Image")</f>
      </c>
      <c r="C3023" s="0" t="inlineStr">
        <is>
          <t>Stella Head Tie</t>
        </is>
      </c>
      <c r="D3023" s="1">
        <v>96919</v>
      </c>
      <c r="E3023" s="0" t="inlineStr">
        <is>
          <t>STELLA:96919</t>
        </is>
      </c>
      <c r="G3023" s="0" t="inlineStr">
        <is>
          <t>WOMENS</t>
        </is>
      </c>
      <c r="H3023" s="0" t="inlineStr">
        <is>
          <t>OSFM</t>
        </is>
      </c>
      <c r="I3023" s="0">
        <v>19.99</v>
      </c>
      <c r="J3023" s="0">
        <v>72</v>
      </c>
    </row>
    <row r="3024" spans="1:10" customHeight="0">
      <c r="A3024" s="0">
        <f>HYPERLINK("https://dl.dropboxusercontent.com/scl/fi/aerk6ik38p23s6kft0dxx/99830af.jpg?rlkey=chh4tsg6p09s7ibh517vv5l5h&amp;dl=0","Click to download Image")</f>
      </c>
      <c r="C3024" s="0" t="inlineStr">
        <is>
          <t>Hudson Youth Cap</t>
        </is>
      </c>
      <c r="D3024" s="0" t="inlineStr">
        <is>
          <t>99830-Y</t>
        </is>
      </c>
      <c r="E3024" s="0" t="inlineStr">
        <is>
          <t>HUDSON:99830-Y</t>
        </is>
      </c>
      <c r="G3024" s="0" t="inlineStr">
        <is>
          <t>YOUTH</t>
        </is>
      </c>
      <c r="H3024" s="0" t="inlineStr">
        <is>
          <t>YOUTH</t>
        </is>
      </c>
      <c r="I3024" s="0">
        <v>21.99</v>
      </c>
      <c r="J3024" s="0">
        <v>93</v>
      </c>
    </row>
    <row r="3025" spans="1:10" customHeight="0">
      <c r="A3025" s="0">
        <f>HYPERLINK("https://dl.dropboxusercontent.com/scl/fi/7epca2s75e98qi9lxdfr1/99830af.jpg?rlkey=lra5of25lzfpraopv58zwc8bz&amp;dl=0","Click to download Image")</f>
      </c>
      <c r="C3025" s="0" t="inlineStr">
        <is>
          <t>Hudson Toddler Cap</t>
        </is>
      </c>
      <c r="D3025" s="0" t="inlineStr">
        <is>
          <t>100675-T</t>
        </is>
      </c>
      <c r="E3025" s="0" t="inlineStr">
        <is>
          <t>HUDSON:100675-T</t>
        </is>
      </c>
      <c r="G3025" s="0" t="inlineStr">
        <is>
          <t>TODDLER</t>
        </is>
      </c>
      <c r="H3025" s="0" t="inlineStr">
        <is>
          <t>TODDLER</t>
        </is>
      </c>
      <c r="I3025" s="0">
        <v>21.99</v>
      </c>
      <c r="J3025" s="0">
        <v>54</v>
      </c>
    </row>
    <row r="3026" spans="1:10" customHeight="0">
      <c r="A3026" s="0">
        <f>HYPERLINK("https://dl.dropboxusercontent.com/scl/fi/uymz1l50ye3ll4p35z7vo/94564af26994.jpg?rlkey=ngkhbu8whspp7yw3klpmc4mqb&amp;dl=0","Click to download Image")</f>
      </c>
      <c r="B3026" s="0">
        <f>HYPERLINK("https://dl.dropboxusercontent.com/scl/fi/a72zkzcz6z6jry8n0rup6/size-chartyouth-a.jpg?rlkey=amers1vb50i7nuvmhyi122kgp&amp;dl=0","Click to download SizeChart")</f>
      </c>
      <c r="C3026" s="0" t="inlineStr">
        <is>
          <t>Rucker Toddler Hooded Shirt</t>
        </is>
      </c>
      <c r="D3026" s="1">
        <v>95355</v>
      </c>
      <c r="E3026" s="0" t="inlineStr">
        <is>
          <t>RUCKER TODDLER:95355B-3T</t>
        </is>
      </c>
      <c r="G3026" s="0" t="inlineStr">
        <is>
          <t>TODDLER</t>
        </is>
      </c>
      <c r="H3026" s="0" t="inlineStr">
        <is>
          <t>3T</t>
        </is>
      </c>
      <c r="I3026" s="0">
        <v>39.99</v>
      </c>
      <c r="J3026" s="0">
        <v>3</v>
      </c>
    </row>
    <row r="3027" spans="1:10" customHeight="0">
      <c r="A3027" s="0">
        <f>HYPERLINK("https://dl.dropboxusercontent.com/scl/fi/uymz1l50ye3ll4p35z7vo/94564af26994.jpg?rlkey=ngkhbu8whspp7yw3klpmc4mqb&amp;dl=0","Click to download Image")</f>
      </c>
      <c r="B3027" s="0">
        <f>HYPERLINK("https://dl.dropboxusercontent.com/scl/fi/a72zkzcz6z6jry8n0rup6/size-chartyouth-a.jpg?rlkey=amers1vb50i7nuvmhyi122kgp&amp;dl=0","Click to download SizeChart")</f>
      </c>
      <c r="C3027" s="0" t="inlineStr">
        <is>
          <t>Rucker Toddler Hooded Shirt</t>
        </is>
      </c>
      <c r="D3027" s="1">
        <v>95355</v>
      </c>
      <c r="E3027" s="0" t="inlineStr">
        <is>
          <t>RUCKER TODDLER:95355C-4T</t>
        </is>
      </c>
      <c r="G3027" s="0" t="inlineStr">
        <is>
          <t>TODDLER</t>
        </is>
      </c>
      <c r="H3027" s="0" t="inlineStr">
        <is>
          <t>4T</t>
        </is>
      </c>
      <c r="I3027" s="0">
        <v>39.99</v>
      </c>
      <c r="J3027" s="0">
        <v>2</v>
      </c>
    </row>
    <row r="3028" spans="1:10" customHeight="0">
      <c r="A3028" s="0">
        <f>HYPERLINK("https://dl.dropboxusercontent.com/scl/fi/uymz1l50ye3ll4p35z7vo/94564af26994.jpg?rlkey=ngkhbu8whspp7yw3klpmc4mqb&amp;dl=0","Click to download Image")</f>
      </c>
      <c r="B3028" s="0">
        <f>HYPERLINK("https://dl.dropboxusercontent.com/scl/fi/a72zkzcz6z6jry8n0rup6/size-chartyouth-a.jpg?rlkey=amers1vb50i7nuvmhyi122kgp&amp;dl=0","Click to download SizeChart")</f>
      </c>
      <c r="C3028" s="0" t="inlineStr">
        <is>
          <t>Rucker Toddler Hooded Shirt</t>
        </is>
      </c>
      <c r="D3028" s="1">
        <v>95355</v>
      </c>
      <c r="E3028" s="0" t="inlineStr">
        <is>
          <t>RUCKER TODDLER:95355D-5T</t>
        </is>
      </c>
      <c r="G3028" s="0" t="inlineStr">
        <is>
          <t>TODDLER</t>
        </is>
      </c>
      <c r="H3028" s="0" t="inlineStr">
        <is>
          <t>5T</t>
        </is>
      </c>
      <c r="I3028" s="0">
        <v>39.99</v>
      </c>
      <c r="J3028" s="0">
        <v>10</v>
      </c>
    </row>
    <row r="3029" spans="1:10" customHeight="0">
      <c r="A3029" s="0">
        <f>HYPERLINK("https://dl.dropboxusercontent.com/scl/fi/0tq10ev79h3bs2y86nys7/ia-richard-copy.jpg?rlkey=orz4ga2ynnlypiw759mdllcdc&amp;dl=0","Click to download Image")</f>
      </c>
      <c r="B3029" s="0">
        <f>HYPERLINK("https://dl.dropboxusercontent.com/scl/fi/rrqlansaic57r8y8j89rx/mens-jackets-size-chartsrichard.jpg?rlkey=c1tslhki8xil1yofoykmrvwqf&amp;dl=0","Click to download SizeChart")</f>
      </c>
      <c r="C3029" s="0" t="inlineStr">
        <is>
          <t>Richard Men's Hooded Puffer Jacket</t>
        </is>
      </c>
      <c r="D3029" s="1">
        <v>101404</v>
      </c>
      <c r="E3029" s="0" t="inlineStr">
        <is>
          <t>RICHARD:101404A-S</t>
        </is>
      </c>
      <c r="G3029" s="0" t="inlineStr">
        <is>
          <t>MENS</t>
        </is>
      </c>
      <c r="H3029" s="0" t="inlineStr">
        <is>
          <t>S</t>
        </is>
      </c>
      <c r="I3029" s="0">
        <v>149.99</v>
      </c>
      <c r="J3029" s="0">
        <v>11</v>
      </c>
    </row>
    <row r="3030" spans="1:10" customHeight="0">
      <c r="A3030" s="0">
        <f>HYPERLINK("https://dl.dropboxusercontent.com/scl/fi/0tq10ev79h3bs2y86nys7/ia-richard-copy.jpg?rlkey=orz4ga2ynnlypiw759mdllcdc&amp;dl=0","Click to download Image")</f>
      </c>
      <c r="B3030" s="0">
        <f>HYPERLINK("https://dl.dropboxusercontent.com/scl/fi/rrqlansaic57r8y8j89rx/mens-jackets-size-chartsrichard.jpg?rlkey=c1tslhki8xil1yofoykmrvwqf&amp;dl=0","Click to download SizeChart")</f>
      </c>
      <c r="C3030" s="0" t="inlineStr">
        <is>
          <t>Richard Men's Hooded Puffer Jacket</t>
        </is>
      </c>
      <c r="D3030" s="1">
        <v>101404</v>
      </c>
      <c r="E3030" s="0" t="inlineStr">
        <is>
          <t>RICHARD:101404B-M</t>
        </is>
      </c>
      <c r="G3030" s="0" t="inlineStr">
        <is>
          <t>MENS</t>
        </is>
      </c>
      <c r="H3030" s="0" t="inlineStr">
        <is>
          <t>M</t>
        </is>
      </c>
      <c r="I3030" s="0">
        <v>149.99</v>
      </c>
      <c r="J3030" s="0">
        <v>12</v>
      </c>
    </row>
    <row r="3031" spans="1:10" customHeight="0">
      <c r="A3031" s="0">
        <f>HYPERLINK("https://dl.dropboxusercontent.com/scl/fi/0tq10ev79h3bs2y86nys7/ia-richard-copy.jpg?rlkey=orz4ga2ynnlypiw759mdllcdc&amp;dl=0","Click to download Image")</f>
      </c>
      <c r="B3031" s="0">
        <f>HYPERLINK("https://dl.dropboxusercontent.com/scl/fi/rrqlansaic57r8y8j89rx/mens-jackets-size-chartsrichard.jpg?rlkey=c1tslhki8xil1yofoykmrvwqf&amp;dl=0","Click to download SizeChart")</f>
      </c>
      <c r="C3031" s="0" t="inlineStr">
        <is>
          <t>Richard Men's Hooded Puffer Jacket</t>
        </is>
      </c>
      <c r="D3031" s="1">
        <v>101404</v>
      </c>
      <c r="E3031" s="0" t="inlineStr">
        <is>
          <t>RICHARD:101404C-L</t>
        </is>
      </c>
      <c r="G3031" s="0" t="inlineStr">
        <is>
          <t>MENS</t>
        </is>
      </c>
      <c r="H3031" s="0" t="inlineStr">
        <is>
          <t>L</t>
        </is>
      </c>
      <c r="I3031" s="0">
        <v>149.99</v>
      </c>
      <c r="J3031" s="0">
        <v>18</v>
      </c>
    </row>
    <row r="3032" spans="1:10" customHeight="0">
      <c r="A3032" s="0">
        <f>HYPERLINK("https://dl.dropboxusercontent.com/scl/fi/0tq10ev79h3bs2y86nys7/ia-richard-copy.jpg?rlkey=orz4ga2ynnlypiw759mdllcdc&amp;dl=0","Click to download Image")</f>
      </c>
      <c r="B3032" s="0">
        <f>HYPERLINK("https://dl.dropboxusercontent.com/scl/fi/rrqlansaic57r8y8j89rx/mens-jackets-size-chartsrichard.jpg?rlkey=c1tslhki8xil1yofoykmrvwqf&amp;dl=0","Click to download SizeChart")</f>
      </c>
      <c r="C3032" s="0" t="inlineStr">
        <is>
          <t>Richard Men's Hooded Puffer Jacket</t>
        </is>
      </c>
      <c r="D3032" s="1">
        <v>101404</v>
      </c>
      <c r="E3032" s="0" t="inlineStr">
        <is>
          <t>RICHARD:101404D-XL</t>
        </is>
      </c>
      <c r="G3032" s="0" t="inlineStr">
        <is>
          <t>MENS</t>
        </is>
      </c>
      <c r="H3032" s="0" t="inlineStr">
        <is>
          <t>XL</t>
        </is>
      </c>
      <c r="I3032" s="0">
        <v>149.99</v>
      </c>
      <c r="J3032" s="0">
        <v>14</v>
      </c>
    </row>
    <row r="3033" spans="1:10" customHeight="0">
      <c r="A3033" s="0">
        <f>HYPERLINK("https://dl.dropboxusercontent.com/scl/fi/0tq10ev79h3bs2y86nys7/ia-richard-copy.jpg?rlkey=orz4ga2ynnlypiw759mdllcdc&amp;dl=0","Click to download Image")</f>
      </c>
      <c r="B3033" s="0">
        <f>HYPERLINK("https://dl.dropboxusercontent.com/scl/fi/rrqlansaic57r8y8j89rx/mens-jackets-size-chartsrichard.jpg?rlkey=c1tslhki8xil1yofoykmrvwqf&amp;dl=0","Click to download SizeChart")</f>
      </c>
      <c r="C3033" s="0" t="inlineStr">
        <is>
          <t>Richard Men's Hooded Puffer Jacket</t>
        </is>
      </c>
      <c r="D3033" s="1">
        <v>101404</v>
      </c>
      <c r="E3033" s="0" t="inlineStr">
        <is>
          <t>RICHARD:101404E-2XL</t>
        </is>
      </c>
      <c r="G3033" s="0" t="inlineStr">
        <is>
          <t>MENS</t>
        </is>
      </c>
      <c r="H3033" s="0" t="inlineStr">
        <is>
          <t>2XL</t>
        </is>
      </c>
      <c r="I3033" s="0">
        <v>151.99</v>
      </c>
      <c r="J3033" s="0">
        <v>4</v>
      </c>
    </row>
    <row r="3034" spans="1:10" customHeight="0">
      <c r="A3034" s="0">
        <f>HYPERLINK("https://dl.dropboxusercontent.com/scl/fi/0tq10ev79h3bs2y86nys7/ia-richard-copy.jpg?rlkey=orz4ga2ynnlypiw759mdllcdc&amp;dl=0","Click to download Image")</f>
      </c>
      <c r="B3034" s="0">
        <f>HYPERLINK("https://dl.dropboxusercontent.com/scl/fi/rrqlansaic57r8y8j89rx/mens-jackets-size-chartsrichard.jpg?rlkey=c1tslhki8xil1yofoykmrvwqf&amp;dl=0","Click to download SizeChart")</f>
      </c>
      <c r="C3034" s="0" t="inlineStr">
        <is>
          <t>Richard Men's Hooded Puffer Jacket</t>
        </is>
      </c>
      <c r="D3034" s="1">
        <v>101404</v>
      </c>
      <c r="E3034" s="0" t="inlineStr">
        <is>
          <t>RICHARD:101404F-3XL</t>
        </is>
      </c>
      <c r="G3034" s="0" t="inlineStr">
        <is>
          <t>MENS</t>
        </is>
      </c>
      <c r="H3034" s="0" t="inlineStr">
        <is>
          <t>3XL</t>
        </is>
      </c>
      <c r="I3034" s="0">
        <v>151.99</v>
      </c>
      <c r="J3034" s="0">
        <v>6</v>
      </c>
    </row>
    <row r="3035" spans="1:10" customHeight="0">
      <c r="A3035" s="0">
        <f>HYPERLINK("https://dl.dropboxusercontent.com/scl/fi/fzkj3qviktsi2exw2rfv4/rhett.jpg?rlkey=ezcqosr749yxo5tv0kv0n5f7u&amp;dl=0","Click to download Image")</f>
      </c>
      <c r="C3035" s="0" t="inlineStr">
        <is>
          <t>Rhett Men's Football Cap</t>
        </is>
      </c>
      <c r="D3035" s="0" t="inlineStr">
        <is>
          <t>101714A-L</t>
        </is>
      </c>
      <c r="E3035" s="0" t="inlineStr">
        <is>
          <t>RHETT:101714A-L</t>
        </is>
      </c>
      <c r="G3035" s="0" t="inlineStr">
        <is>
          <t>MENS</t>
        </is>
      </c>
      <c r="H3035" s="0" t="inlineStr">
        <is>
          <t>STANDARD MENS</t>
        </is>
      </c>
      <c r="I3035" s="0">
        <v>24.99</v>
      </c>
      <c r="J3035" s="0">
        <v>25</v>
      </c>
    </row>
    <row r="3036" spans="1:10" customHeight="0">
      <c r="A3036" s="0">
        <f>HYPERLINK("https://dl.dropboxusercontent.com/scl/fi/u7ct8u9i1h36ltty1hj2a/rhett.jpg?rlkey=bmstcym5ge6m00bkgvkeumfmy&amp;dl=0","Click to download Image")</f>
      </c>
      <c r="C3036" s="0" t="inlineStr">
        <is>
          <t>Rhett Men's Football Cap</t>
        </is>
      </c>
      <c r="D3036" s="0" t="inlineStr">
        <is>
          <t>101714B-XL</t>
        </is>
      </c>
      <c r="E3036" s="0" t="inlineStr">
        <is>
          <t>RHETT:101714B-XL</t>
        </is>
      </c>
      <c r="G3036" s="0" t="inlineStr">
        <is>
          <t>MENS</t>
        </is>
      </c>
      <c r="H3036" s="0" t="inlineStr">
        <is>
          <t>MENS XL</t>
        </is>
      </c>
      <c r="I3036" s="0">
        <v>24.99</v>
      </c>
      <c r="J3036" s="0">
        <v>43</v>
      </c>
    </row>
    <row r="3037" spans="1:10" customHeight="0">
      <c r="A3037" s="0">
        <f>HYPERLINK("https://dl.dropboxusercontent.com/scl/fi/l57f99kwtxhvg7pmmv5t1/remy-02.jpg?rlkey=8jdmctxi916naied8mhqavpmh&amp;dl=0","Click to download Image")</f>
      </c>
      <c r="B3037" s="0">
        <f>HYPERLINK("https://dl.dropboxusercontent.com/scl/fi/049dqsnch6hctz5onjhxy/size-chartyouth-c.jpg?rlkey=xsurw4lufkdodef4rujd4dhqz&amp;dl=0","Click to download SizeChart")</f>
      </c>
      <c r="C3037" s="0" t="inlineStr">
        <is>
          <t>Remy Youth Glow In The Dark Short Sleeve Shirt</t>
        </is>
      </c>
      <c r="D3037" s="1">
        <v>96763</v>
      </c>
      <c r="E3037" s="0" t="inlineStr">
        <is>
          <t>REMY:96763A-S</t>
        </is>
      </c>
      <c r="G3037" s="0" t="inlineStr">
        <is>
          <t>YOUTH</t>
        </is>
      </c>
      <c r="H3037" s="0" t="inlineStr">
        <is>
          <t>YS</t>
        </is>
      </c>
      <c r="I3037" s="0">
        <v>34.99</v>
      </c>
      <c r="J3037" s="0">
        <v>68</v>
      </c>
    </row>
    <row r="3038" spans="1:10" customHeight="0">
      <c r="A3038" s="0">
        <f>HYPERLINK("https://dl.dropboxusercontent.com/scl/fi/l57f99kwtxhvg7pmmv5t1/remy-02.jpg?rlkey=8jdmctxi916naied8mhqavpmh&amp;dl=0","Click to download Image")</f>
      </c>
      <c r="B3038" s="0">
        <f>HYPERLINK("https://dl.dropboxusercontent.com/scl/fi/049dqsnch6hctz5onjhxy/size-chartyouth-c.jpg?rlkey=xsurw4lufkdodef4rujd4dhqz&amp;dl=0","Click to download SizeChart")</f>
      </c>
      <c r="C3038" s="0" t="inlineStr">
        <is>
          <t>Remy Youth Glow In The Dark Short Sleeve Shirt</t>
        </is>
      </c>
      <c r="D3038" s="1">
        <v>96763</v>
      </c>
      <c r="E3038" s="0" t="inlineStr">
        <is>
          <t>REMY:96763B-M</t>
        </is>
      </c>
      <c r="G3038" s="0" t="inlineStr">
        <is>
          <t>YOUTH</t>
        </is>
      </c>
      <c r="H3038" s="0" t="inlineStr">
        <is>
          <t>YM</t>
        </is>
      </c>
      <c r="I3038" s="0">
        <v>34.99</v>
      </c>
      <c r="J3038" s="0">
        <v>83</v>
      </c>
    </row>
    <row r="3039" spans="1:10" customHeight="0">
      <c r="A3039" s="0">
        <f>HYPERLINK("https://dl.dropboxusercontent.com/scl/fi/l57f99kwtxhvg7pmmv5t1/remy-02.jpg?rlkey=8jdmctxi916naied8mhqavpmh&amp;dl=0","Click to download Image")</f>
      </c>
      <c r="B3039" s="0">
        <f>HYPERLINK("https://dl.dropboxusercontent.com/scl/fi/049dqsnch6hctz5onjhxy/size-chartyouth-c.jpg?rlkey=xsurw4lufkdodef4rujd4dhqz&amp;dl=0","Click to download SizeChart")</f>
      </c>
      <c r="C3039" s="0" t="inlineStr">
        <is>
          <t>Remy Youth Glow In The Dark Short Sleeve Shirt</t>
        </is>
      </c>
      <c r="D3039" s="1">
        <v>96763</v>
      </c>
      <c r="E3039" s="0" t="inlineStr">
        <is>
          <t>REMY:96763C-L</t>
        </is>
      </c>
      <c r="G3039" s="0" t="inlineStr">
        <is>
          <t>YOUTH</t>
        </is>
      </c>
      <c r="H3039" s="0" t="inlineStr">
        <is>
          <t>YL</t>
        </is>
      </c>
      <c r="I3039" s="0">
        <v>34.99</v>
      </c>
      <c r="J3039" s="0">
        <v>0</v>
      </c>
    </row>
    <row r="3040" spans="1:10" customHeight="0">
      <c r="A3040" s="0">
        <f>HYPERLINK("https://dl.dropboxusercontent.com/scl/fi/l57f99kwtxhvg7pmmv5t1/remy-02.jpg?rlkey=8jdmctxi916naied8mhqavpmh&amp;dl=0","Click to download Image")</f>
      </c>
      <c r="B3040" s="0">
        <f>HYPERLINK("https://dl.dropboxusercontent.com/scl/fi/049dqsnch6hctz5onjhxy/size-chartyouth-c.jpg?rlkey=xsurw4lufkdodef4rujd4dhqz&amp;dl=0","Click to download SizeChart")</f>
      </c>
      <c r="C3040" s="0" t="inlineStr">
        <is>
          <t>Remy Youth Glow In The Dark Short Sleeve Shirt</t>
        </is>
      </c>
      <c r="D3040" s="1">
        <v>96763</v>
      </c>
      <c r="E3040" s="0" t="inlineStr">
        <is>
          <t>REMY:96763D-XL</t>
        </is>
      </c>
      <c r="G3040" s="0" t="inlineStr">
        <is>
          <t>YOUTH</t>
        </is>
      </c>
      <c r="H3040" s="0" t="inlineStr">
        <is>
          <t>YXL</t>
        </is>
      </c>
      <c r="I3040" s="0">
        <v>34.99</v>
      </c>
      <c r="J3040" s="0">
        <v>67</v>
      </c>
    </row>
    <row r="3041" spans="1:10" customHeight="0">
      <c r="A3041" s="0">
        <f>HYPERLINK("https://dl.dropboxusercontent.com/scl/fi/1e5hr1d7tz8oum1oa4o0b/90790af35356.jpg?rlkey=2m8s4r9iutzq85w21tjoubk89&amp;dl=0","Click to download Image")</f>
      </c>
      <c r="B3041" s="0">
        <f>HYPERLINK("https://dl.dropboxusercontent.com/scl/fi/11cdd6q062q9lguqma0oa/mens-jackets-size-chartsbowie.jpg?rlkey=17v8dbajwhp3xnuzn67jjrr84&amp;dl=0","Click to download SizeChart")</f>
      </c>
      <c r="C3041" s="0" t="inlineStr">
        <is>
          <t>Bowie Men's Full Zip Jacket</t>
        </is>
      </c>
      <c r="D3041" s="1">
        <v>105407</v>
      </c>
      <c r="E3041" s="0" t="inlineStr">
        <is>
          <t>BOWIE:105407A-S</t>
        </is>
      </c>
      <c r="G3041" s="0" t="inlineStr">
        <is>
          <t>MENS</t>
        </is>
      </c>
      <c r="H3041" s="0" t="inlineStr">
        <is>
          <t>S</t>
        </is>
      </c>
      <c r="I3041" s="0">
        <v>59.99</v>
      </c>
      <c r="J3041" s="0">
        <v>57</v>
      </c>
    </row>
    <row r="3042" spans="1:10" customHeight="0">
      <c r="A3042" s="0">
        <f>HYPERLINK("https://dl.dropboxusercontent.com/scl/fi/1e5hr1d7tz8oum1oa4o0b/90790af35356.jpg?rlkey=2m8s4r9iutzq85w21tjoubk89&amp;dl=0","Click to download Image")</f>
      </c>
      <c r="B3042" s="0">
        <f>HYPERLINK("https://dl.dropboxusercontent.com/scl/fi/11cdd6q062q9lguqma0oa/mens-jackets-size-chartsbowie.jpg?rlkey=17v8dbajwhp3xnuzn67jjrr84&amp;dl=0","Click to download SizeChart")</f>
      </c>
      <c r="C3042" s="0" t="inlineStr">
        <is>
          <t>Bowie Men's Full Zip Jacket</t>
        </is>
      </c>
      <c r="D3042" s="1">
        <v>105407</v>
      </c>
      <c r="E3042" s="0" t="inlineStr">
        <is>
          <t>BOWIE:105407B-M</t>
        </is>
      </c>
      <c r="G3042" s="0" t="inlineStr">
        <is>
          <t>MENS</t>
        </is>
      </c>
      <c r="H3042" s="0" t="inlineStr">
        <is>
          <t>M</t>
        </is>
      </c>
      <c r="I3042" s="0">
        <v>59.99</v>
      </c>
      <c r="J3042" s="0">
        <v>34</v>
      </c>
    </row>
    <row r="3043" spans="1:10" customHeight="0">
      <c r="A3043" s="0">
        <f>HYPERLINK("https://dl.dropboxusercontent.com/scl/fi/1e5hr1d7tz8oum1oa4o0b/90790af35356.jpg?rlkey=2m8s4r9iutzq85w21tjoubk89&amp;dl=0","Click to download Image")</f>
      </c>
      <c r="B3043" s="0">
        <f>HYPERLINK("https://dl.dropboxusercontent.com/scl/fi/11cdd6q062q9lguqma0oa/mens-jackets-size-chartsbowie.jpg?rlkey=17v8dbajwhp3xnuzn67jjrr84&amp;dl=0","Click to download SizeChart")</f>
      </c>
      <c r="C3043" s="0" t="inlineStr">
        <is>
          <t>Bowie Men's Full Zip Jacket</t>
        </is>
      </c>
      <c r="D3043" s="1">
        <v>105407</v>
      </c>
      <c r="E3043" s="0" t="inlineStr">
        <is>
          <t>BOWIE:105407C-L</t>
        </is>
      </c>
      <c r="G3043" s="0" t="inlineStr">
        <is>
          <t>MENS</t>
        </is>
      </c>
      <c r="H3043" s="0" t="inlineStr">
        <is>
          <t>L</t>
        </is>
      </c>
      <c r="I3043" s="0">
        <v>59.99</v>
      </c>
      <c r="J3043" s="0">
        <v>0</v>
      </c>
    </row>
    <row r="3044" spans="1:10" customHeight="0">
      <c r="A3044" s="0">
        <f>HYPERLINK("https://dl.dropboxusercontent.com/scl/fi/1e5hr1d7tz8oum1oa4o0b/90790af35356.jpg?rlkey=2m8s4r9iutzq85w21tjoubk89&amp;dl=0","Click to download Image")</f>
      </c>
      <c r="B3044" s="0">
        <f>HYPERLINK("https://dl.dropboxusercontent.com/scl/fi/11cdd6q062q9lguqma0oa/mens-jackets-size-chartsbowie.jpg?rlkey=17v8dbajwhp3xnuzn67jjrr84&amp;dl=0","Click to download SizeChart")</f>
      </c>
      <c r="C3044" s="0" t="inlineStr">
        <is>
          <t>Bowie Men's Full Zip Jacket</t>
        </is>
      </c>
      <c r="D3044" s="1">
        <v>105407</v>
      </c>
      <c r="E3044" s="0" t="inlineStr">
        <is>
          <t>BOWIE:105407D-XL</t>
        </is>
      </c>
      <c r="G3044" s="0" t="inlineStr">
        <is>
          <t>MENS</t>
        </is>
      </c>
      <c r="H3044" s="0" t="inlineStr">
        <is>
          <t>XL</t>
        </is>
      </c>
      <c r="I3044" s="0">
        <v>59.99</v>
      </c>
      <c r="J3044" s="0">
        <v>0</v>
      </c>
    </row>
    <row r="3045" spans="1:10" customHeight="0">
      <c r="A3045" s="0">
        <f>HYPERLINK("https://dl.dropboxusercontent.com/scl/fi/1e5hr1d7tz8oum1oa4o0b/90790af35356.jpg?rlkey=2m8s4r9iutzq85w21tjoubk89&amp;dl=0","Click to download Image")</f>
      </c>
      <c r="B3045" s="0">
        <f>HYPERLINK("https://dl.dropboxusercontent.com/scl/fi/11cdd6q062q9lguqma0oa/mens-jackets-size-chartsbowie.jpg?rlkey=17v8dbajwhp3xnuzn67jjrr84&amp;dl=0","Click to download SizeChart")</f>
      </c>
      <c r="C3045" s="0" t="inlineStr">
        <is>
          <t>Bowie Men's Full Zip Jacket</t>
        </is>
      </c>
      <c r="D3045" s="1">
        <v>105407</v>
      </c>
      <c r="E3045" s="0" t="inlineStr">
        <is>
          <t>BOWIE:105407E-2XL</t>
        </is>
      </c>
      <c r="G3045" s="0" t="inlineStr">
        <is>
          <t>MENS</t>
        </is>
      </c>
      <c r="H3045" s="0" t="inlineStr">
        <is>
          <t>2XL</t>
        </is>
      </c>
      <c r="I3045" s="0">
        <v>61.99</v>
      </c>
      <c r="J3045" s="0">
        <v>12</v>
      </c>
    </row>
    <row r="3046" spans="1:10" customHeight="0">
      <c r="A3046" s="0">
        <f>HYPERLINK("https://dl.dropboxusercontent.com/scl/fi/1e5hr1d7tz8oum1oa4o0b/90790af35356.jpg?rlkey=2m8s4r9iutzq85w21tjoubk89&amp;dl=0","Click to download Image")</f>
      </c>
      <c r="B3046" s="0">
        <f>HYPERLINK("https://dl.dropboxusercontent.com/scl/fi/11cdd6q062q9lguqma0oa/mens-jackets-size-chartsbowie.jpg?rlkey=17v8dbajwhp3xnuzn67jjrr84&amp;dl=0","Click to download SizeChart")</f>
      </c>
      <c r="C3046" s="0" t="inlineStr">
        <is>
          <t>Bowie Men's Full Zip Jacket</t>
        </is>
      </c>
      <c r="D3046" s="1">
        <v>105407</v>
      </c>
      <c r="E3046" s="0" t="inlineStr">
        <is>
          <t>BOWIE:105407F-3XL</t>
        </is>
      </c>
      <c r="G3046" s="0" t="inlineStr">
        <is>
          <t>MENS</t>
        </is>
      </c>
      <c r="H3046" s="0" t="inlineStr">
        <is>
          <t>3XL</t>
        </is>
      </c>
      <c r="I3046" s="0">
        <v>61.99</v>
      </c>
      <c r="J3046" s="0">
        <v>23</v>
      </c>
    </row>
    <row r="3047" spans="1:10" customHeight="0">
      <c r="A3047" s="0">
        <f>HYPERLINK("https://dl.dropboxusercontent.com/scl/fi/z3dl3e9jh6c745lahy28t/96354af58056.png?rlkey=rtm7d0hzirtcaghcjfkgeepuc&amp;dl=0","Click to download Image")</f>
      </c>
      <c r="B3047" s="0">
        <f>HYPERLINK("https://dl.dropboxusercontent.com/scl/fi/skczer7x88r19mkt256b7/graphic-update2022-womens.jpg?rlkey=ip553hpq1mzm9c3085vgx5f2u&amp;dl=0","Click to download SizeChart")</f>
      </c>
      <c r="C3047" s="0" t="inlineStr">
        <is>
          <t>Bowie Women's Full Zip Jacket</t>
        </is>
      </c>
      <c r="D3047" s="1">
        <v>105409</v>
      </c>
      <c r="E3047" s="0" t="inlineStr">
        <is>
          <t>BOWIE:105409A-S</t>
        </is>
      </c>
      <c r="G3047" s="0" t="inlineStr">
        <is>
          <t>WOMENS</t>
        </is>
      </c>
      <c r="H3047" s="0" t="inlineStr">
        <is>
          <t>S</t>
        </is>
      </c>
      <c r="I3047" s="0">
        <v>59.99</v>
      </c>
      <c r="J3047" s="0">
        <v>61</v>
      </c>
    </row>
    <row r="3048" spans="1:10" customHeight="0">
      <c r="A3048" s="0">
        <f>HYPERLINK("https://dl.dropboxusercontent.com/scl/fi/z3dl3e9jh6c745lahy28t/96354af58056.png?rlkey=rtm7d0hzirtcaghcjfkgeepuc&amp;dl=0","Click to download Image")</f>
      </c>
      <c r="B3048" s="0">
        <f>HYPERLINK("https://dl.dropboxusercontent.com/scl/fi/skczer7x88r19mkt256b7/graphic-update2022-womens.jpg?rlkey=ip553hpq1mzm9c3085vgx5f2u&amp;dl=0","Click to download SizeChart")</f>
      </c>
      <c r="C3048" s="0" t="inlineStr">
        <is>
          <t>Bowie Women's Full Zip Jacket</t>
        </is>
      </c>
      <c r="D3048" s="1">
        <v>105409</v>
      </c>
      <c r="E3048" s="0" t="inlineStr">
        <is>
          <t>BOWIE:105409B-M</t>
        </is>
      </c>
      <c r="G3048" s="0" t="inlineStr">
        <is>
          <t>WOMENS</t>
        </is>
      </c>
      <c r="H3048" s="0" t="inlineStr">
        <is>
          <t>M</t>
        </is>
      </c>
      <c r="I3048" s="0">
        <v>59.99</v>
      </c>
      <c r="J3048" s="0">
        <v>57</v>
      </c>
    </row>
    <row r="3049" spans="1:10" customHeight="0">
      <c r="A3049" s="0">
        <f>HYPERLINK("https://dl.dropboxusercontent.com/scl/fi/z3dl3e9jh6c745lahy28t/96354af58056.png?rlkey=rtm7d0hzirtcaghcjfkgeepuc&amp;dl=0","Click to download Image")</f>
      </c>
      <c r="B3049" s="0">
        <f>HYPERLINK("https://dl.dropboxusercontent.com/scl/fi/skczer7x88r19mkt256b7/graphic-update2022-womens.jpg?rlkey=ip553hpq1mzm9c3085vgx5f2u&amp;dl=0","Click to download SizeChart")</f>
      </c>
      <c r="C3049" s="0" t="inlineStr">
        <is>
          <t>Bowie Women's Full Zip Jacket</t>
        </is>
      </c>
      <c r="D3049" s="1">
        <v>105409</v>
      </c>
      <c r="E3049" s="0" t="inlineStr">
        <is>
          <t>BOWIE:105409C-L</t>
        </is>
      </c>
      <c r="G3049" s="0" t="inlineStr">
        <is>
          <t>WOMENS</t>
        </is>
      </c>
      <c r="H3049" s="0" t="inlineStr">
        <is>
          <t>L</t>
        </is>
      </c>
      <c r="I3049" s="0">
        <v>59.99</v>
      </c>
      <c r="J3049" s="0">
        <v>43</v>
      </c>
    </row>
    <row r="3050" spans="1:10" customHeight="0">
      <c r="A3050" s="0">
        <f>HYPERLINK("https://dl.dropboxusercontent.com/scl/fi/z3dl3e9jh6c745lahy28t/96354af58056.png?rlkey=rtm7d0hzirtcaghcjfkgeepuc&amp;dl=0","Click to download Image")</f>
      </c>
      <c r="B3050" s="0">
        <f>HYPERLINK("https://dl.dropboxusercontent.com/scl/fi/skczer7x88r19mkt256b7/graphic-update2022-womens.jpg?rlkey=ip553hpq1mzm9c3085vgx5f2u&amp;dl=0","Click to download SizeChart")</f>
      </c>
      <c r="C3050" s="0" t="inlineStr">
        <is>
          <t>Bowie Women's Full Zip Jacket</t>
        </is>
      </c>
      <c r="D3050" s="1">
        <v>105409</v>
      </c>
      <c r="E3050" s="0" t="inlineStr">
        <is>
          <t>BOWIE:105409D-XL</t>
        </is>
      </c>
      <c r="G3050" s="0" t="inlineStr">
        <is>
          <t>WOMENS</t>
        </is>
      </c>
      <c r="H3050" s="0" t="inlineStr">
        <is>
          <t>XL</t>
        </is>
      </c>
      <c r="I3050" s="0">
        <v>59.99</v>
      </c>
      <c r="J3050" s="0">
        <v>43</v>
      </c>
    </row>
    <row r="3051" spans="1:10" customHeight="0">
      <c r="A3051" s="0">
        <f>HYPERLINK("https://dl.dropboxusercontent.com/scl/fi/z3dl3e9jh6c745lahy28t/96354af58056.png?rlkey=rtm7d0hzirtcaghcjfkgeepuc&amp;dl=0","Click to download Image")</f>
      </c>
      <c r="B3051" s="0">
        <f>HYPERLINK("https://dl.dropboxusercontent.com/scl/fi/skczer7x88r19mkt256b7/graphic-update2022-womens.jpg?rlkey=ip553hpq1mzm9c3085vgx5f2u&amp;dl=0","Click to download SizeChart")</f>
      </c>
      <c r="C3051" s="0" t="inlineStr">
        <is>
          <t>Bowie Women's Full Zip Jacket</t>
        </is>
      </c>
      <c r="D3051" s="1">
        <v>105409</v>
      </c>
      <c r="E3051" s="0" t="inlineStr">
        <is>
          <t>BOWIE:105409E-2XL</t>
        </is>
      </c>
      <c r="G3051" s="0" t="inlineStr">
        <is>
          <t>WOMENS</t>
        </is>
      </c>
      <c r="H3051" s="0" t="inlineStr">
        <is>
          <t>2XL</t>
        </is>
      </c>
      <c r="I3051" s="0">
        <v>61.99</v>
      </c>
      <c r="J3051" s="0">
        <v>37</v>
      </c>
    </row>
    <row r="3052" spans="1:10" customHeight="0">
      <c r="A3052" s="0">
        <f>HYPERLINK("https://dl.dropboxusercontent.com/scl/fi/z3dl3e9jh6c745lahy28t/96354af58056.png?rlkey=rtm7d0hzirtcaghcjfkgeepuc&amp;dl=0","Click to download Image")</f>
      </c>
      <c r="B3052" s="0">
        <f>HYPERLINK("https://dl.dropboxusercontent.com/scl/fi/skczer7x88r19mkt256b7/graphic-update2022-womens.jpg?rlkey=ip553hpq1mzm9c3085vgx5f2u&amp;dl=0","Click to download SizeChart")</f>
      </c>
      <c r="C3052" s="0" t="inlineStr">
        <is>
          <t>Bowie Women's Full Zip Jacket</t>
        </is>
      </c>
      <c r="D3052" s="1">
        <v>105409</v>
      </c>
      <c r="E3052" s="0" t="inlineStr">
        <is>
          <t>BOWIE:105409F-3XL</t>
        </is>
      </c>
      <c r="G3052" s="0" t="inlineStr">
        <is>
          <t>WOMENS</t>
        </is>
      </c>
      <c r="H3052" s="0" t="inlineStr">
        <is>
          <t>3XL</t>
        </is>
      </c>
      <c r="I3052" s="0">
        <v>61.99</v>
      </c>
      <c r="J3052" s="0">
        <v>5</v>
      </c>
    </row>
    <row r="3053" spans="1:10" customHeight="0">
      <c r="A3053" s="0">
        <f>HYPERLINK("https://dl.dropboxusercontent.com/scl/fi/azakc1pq9qi9ht90ai02z/98832af.jpg?rlkey=hbx29iku5y6o0t8v05fkggf9y&amp;dl=0","Click to download Image")</f>
      </c>
      <c r="C3053" s="0" t="inlineStr">
        <is>
          <t>Amy Full Zip Youth Hoodie</t>
        </is>
      </c>
      <c r="D3053" s="1">
        <v>98832</v>
      </c>
      <c r="E3053" s="0" t="inlineStr">
        <is>
          <t>AMY:98832A-S</t>
        </is>
      </c>
      <c r="G3053" s="0" t="inlineStr">
        <is>
          <t>YOUTH</t>
        </is>
      </c>
      <c r="H3053" s="0" t="inlineStr">
        <is>
          <t>YS</t>
        </is>
      </c>
      <c r="I3053" s="0">
        <v>34.99</v>
      </c>
      <c r="J3053" s="0">
        <v>33</v>
      </c>
    </row>
    <row r="3054" spans="1:10" customHeight="0">
      <c r="A3054" s="0">
        <f>HYPERLINK("https://dl.dropboxusercontent.com/scl/fi/azakc1pq9qi9ht90ai02z/98832af.jpg?rlkey=hbx29iku5y6o0t8v05fkggf9y&amp;dl=0","Click to download Image")</f>
      </c>
      <c r="C3054" s="0" t="inlineStr">
        <is>
          <t>Amy Full Zip Youth Hoodie</t>
        </is>
      </c>
      <c r="D3054" s="1">
        <v>98832</v>
      </c>
      <c r="E3054" s="0" t="inlineStr">
        <is>
          <t>AMY:98832B-M</t>
        </is>
      </c>
      <c r="G3054" s="0" t="inlineStr">
        <is>
          <t>YOUTH</t>
        </is>
      </c>
      <c r="H3054" s="0" t="inlineStr">
        <is>
          <t>YM</t>
        </is>
      </c>
      <c r="I3054" s="0">
        <v>34.99</v>
      </c>
      <c r="J3054" s="0">
        <v>36</v>
      </c>
    </row>
    <row r="3055" spans="1:10" customHeight="0">
      <c r="A3055" s="0">
        <f>HYPERLINK("https://dl.dropboxusercontent.com/scl/fi/azakc1pq9qi9ht90ai02z/98832af.jpg?rlkey=hbx29iku5y6o0t8v05fkggf9y&amp;dl=0","Click to download Image")</f>
      </c>
      <c r="C3055" s="0" t="inlineStr">
        <is>
          <t>Amy Full Zip Youth Hoodie</t>
        </is>
      </c>
      <c r="D3055" s="1">
        <v>98832</v>
      </c>
      <c r="E3055" s="0" t="inlineStr">
        <is>
          <t>AMY:98832C-L</t>
        </is>
      </c>
      <c r="G3055" s="0" t="inlineStr">
        <is>
          <t>YOUTH</t>
        </is>
      </c>
      <c r="H3055" s="0" t="inlineStr">
        <is>
          <t>YL</t>
        </is>
      </c>
      <c r="I3055" s="0">
        <v>34.99</v>
      </c>
      <c r="J3055" s="0">
        <v>40</v>
      </c>
    </row>
    <row r="3056" spans="1:10" customHeight="0">
      <c r="A3056" s="0">
        <f>HYPERLINK("https://dl.dropboxusercontent.com/scl/fi/azakc1pq9qi9ht90ai02z/98832af.jpg?rlkey=hbx29iku5y6o0t8v05fkggf9y&amp;dl=0","Click to download Image")</f>
      </c>
      <c r="C3056" s="0" t="inlineStr">
        <is>
          <t>Amy Full Zip Youth Hoodie</t>
        </is>
      </c>
      <c r="D3056" s="1">
        <v>98832</v>
      </c>
      <c r="E3056" s="0" t="inlineStr">
        <is>
          <t>AMY:98832D-XL</t>
        </is>
      </c>
      <c r="G3056" s="0" t="inlineStr">
        <is>
          <t>YOUTH</t>
        </is>
      </c>
      <c r="H3056" s="0" t="inlineStr">
        <is>
          <t>YXL</t>
        </is>
      </c>
      <c r="I3056" s="0">
        <v>34.99</v>
      </c>
      <c r="J3056" s="0">
        <v>48</v>
      </c>
    </row>
    <row r="3057" spans="1:10" customHeight="0">
      <c r="A3057" s="0">
        <f>HYPERLINK("https://dl.dropboxusercontent.com/scl/fi/vi3ipkexudqhj01uv90ip/98338f.jpg?rlkey=y31bxea9j7hrg5rfa48sbk853&amp;dl=0","Click to download Image")</f>
      </c>
      <c r="B3057" s="0">
        <f>HYPERLINK("https://dl.dropboxusercontent.com/scl/fi/dk7sql3dk2rx2p5v1rivh/mens-d.jpg?rlkey=9q3wdcfct79gstqsxcvween5l&amp;dl=0","Click to download SizeChart")</f>
      </c>
      <c r="C3057" s="0" t="inlineStr">
        <is>
          <t>Ried Men's 1/2 Zip Pullover</t>
        </is>
      </c>
      <c r="D3057" s="1">
        <v>98338</v>
      </c>
      <c r="E3057" s="0" t="inlineStr">
        <is>
          <t>RIED:98338A-S</t>
        </is>
      </c>
      <c r="G3057" s="0" t="inlineStr">
        <is>
          <t>MENS</t>
        </is>
      </c>
      <c r="H3057" s="0" t="inlineStr">
        <is>
          <t>S</t>
        </is>
      </c>
      <c r="I3057" s="0">
        <v>49.99</v>
      </c>
      <c r="J3057" s="0">
        <v>54</v>
      </c>
    </row>
    <row r="3058" spans="1:10" customHeight="0">
      <c r="A3058" s="0">
        <f>HYPERLINK("https://dl.dropboxusercontent.com/scl/fi/vi3ipkexudqhj01uv90ip/98338f.jpg?rlkey=y31bxea9j7hrg5rfa48sbk853&amp;dl=0","Click to download Image")</f>
      </c>
      <c r="B3058" s="0">
        <f>HYPERLINK("https://dl.dropboxusercontent.com/scl/fi/dk7sql3dk2rx2p5v1rivh/mens-d.jpg?rlkey=9q3wdcfct79gstqsxcvween5l&amp;dl=0","Click to download SizeChart")</f>
      </c>
      <c r="C3058" s="0" t="inlineStr">
        <is>
          <t>Ried Men's 1/2 Zip Pullover</t>
        </is>
      </c>
      <c r="D3058" s="1">
        <v>98338</v>
      </c>
      <c r="E3058" s="0" t="inlineStr">
        <is>
          <t>RIED:98338B-M</t>
        </is>
      </c>
      <c r="G3058" s="0" t="inlineStr">
        <is>
          <t>MENS</t>
        </is>
      </c>
      <c r="H3058" s="0" t="inlineStr">
        <is>
          <t>M</t>
        </is>
      </c>
      <c r="I3058" s="0">
        <v>49.99</v>
      </c>
      <c r="J3058" s="0">
        <v>6</v>
      </c>
    </row>
    <row r="3059" spans="1:10" customHeight="0">
      <c r="A3059" s="0">
        <f>HYPERLINK("https://dl.dropboxusercontent.com/scl/fi/vi3ipkexudqhj01uv90ip/98338f.jpg?rlkey=y31bxea9j7hrg5rfa48sbk853&amp;dl=0","Click to download Image")</f>
      </c>
      <c r="B3059" s="0">
        <f>HYPERLINK("https://dl.dropboxusercontent.com/scl/fi/dk7sql3dk2rx2p5v1rivh/mens-d.jpg?rlkey=9q3wdcfct79gstqsxcvween5l&amp;dl=0","Click to download SizeChart")</f>
      </c>
      <c r="C3059" s="0" t="inlineStr">
        <is>
          <t>Ried Men's 1/2 Zip Pullover</t>
        </is>
      </c>
      <c r="D3059" s="1">
        <v>98338</v>
      </c>
      <c r="E3059" s="0" t="inlineStr">
        <is>
          <t>RIED:98338E-2XL</t>
        </is>
      </c>
      <c r="G3059" s="0" t="inlineStr">
        <is>
          <t>MENS</t>
        </is>
      </c>
      <c r="H3059" s="0" t="inlineStr">
        <is>
          <t>2XL</t>
        </is>
      </c>
      <c r="I3059" s="0">
        <v>51.99</v>
      </c>
      <c r="J3059" s="0">
        <v>11</v>
      </c>
    </row>
    <row r="3060" spans="1:10" customHeight="0">
      <c r="A3060" s="0">
        <f>HYPERLINK("https://dl.dropboxusercontent.com/scl/fi/oqz1ca7g4oalkeegghm0x/raet.jpg?rlkey=isqlv1t9sdh50d9aq4qdwce19&amp;dl=0","Click to download Image")</f>
      </c>
      <c r="B3060" s="0">
        <f>HYPERLINK("https://dl.dropboxusercontent.com/scl/fi/0vcysd8wu7152j55jbzaj/size-chart-ladies-b.jpg?rlkey=6am648tf5832ujmvwhndpr6qf&amp;dl=0","Click to download SizeChart")</f>
      </c>
      <c r="C3060" s="0" t="inlineStr">
        <is>
          <t>Rae Boat Neck Sweatshirt</t>
        </is>
      </c>
      <c r="D3060" s="1">
        <v>96395</v>
      </c>
      <c r="E3060" s="0" t="inlineStr">
        <is>
          <t>RAE:96395C-L</t>
        </is>
      </c>
      <c r="F3060" s="2">
        <v>80009639503</v>
      </c>
      <c r="G3060" s="0" t="inlineStr">
        <is>
          <t>WOMENS</t>
        </is>
      </c>
      <c r="H3060" s="0" t="inlineStr">
        <is>
          <t>L</t>
        </is>
      </c>
      <c r="I3060" s="0">
        <v>44.99</v>
      </c>
      <c r="J3060" s="0">
        <v>19</v>
      </c>
    </row>
    <row r="3061" spans="1:10" customHeight="0">
      <c r="A3061" s="0">
        <f>HYPERLINK("https://dl.dropboxusercontent.com/scl/fi/oqz1ca7g4oalkeegghm0x/raet.jpg?rlkey=isqlv1t9sdh50d9aq4qdwce19&amp;dl=0","Click to download Image")</f>
      </c>
      <c r="B3061" s="0">
        <f>HYPERLINK("https://dl.dropboxusercontent.com/scl/fi/0vcysd8wu7152j55jbzaj/size-chart-ladies-b.jpg?rlkey=6am648tf5832ujmvwhndpr6qf&amp;dl=0","Click to download SizeChart")</f>
      </c>
      <c r="C3061" s="0" t="inlineStr">
        <is>
          <t>Rae Boat Neck Sweatshirt</t>
        </is>
      </c>
      <c r="D3061" s="1">
        <v>96395</v>
      </c>
      <c r="E3061" s="0" t="inlineStr">
        <is>
          <t>RAE:96395D-XL</t>
        </is>
      </c>
      <c r="F3061" s="2">
        <v>80009639504</v>
      </c>
      <c r="G3061" s="0" t="inlineStr">
        <is>
          <t>WOMENS</t>
        </is>
      </c>
      <c r="H3061" s="0" t="inlineStr">
        <is>
          <t>XL</t>
        </is>
      </c>
      <c r="I3061" s="0">
        <v>44.99</v>
      </c>
      <c r="J3061" s="0">
        <v>37</v>
      </c>
    </row>
    <row r="3062" spans="1:10" customHeight="0">
      <c r="A3062" s="0">
        <f>HYPERLINK("https://dl.dropboxusercontent.com/scl/fi/oqz1ca7g4oalkeegghm0x/raet.jpg?rlkey=isqlv1t9sdh50d9aq4qdwce19&amp;dl=0","Click to download Image")</f>
      </c>
      <c r="B3062" s="0">
        <f>HYPERLINK("https://dl.dropboxusercontent.com/scl/fi/0vcysd8wu7152j55jbzaj/size-chart-ladies-b.jpg?rlkey=6am648tf5832ujmvwhndpr6qf&amp;dl=0","Click to download SizeChart")</f>
      </c>
      <c r="C3062" s="0" t="inlineStr">
        <is>
          <t>Rae Boat Neck Sweatshirt</t>
        </is>
      </c>
      <c r="D3062" s="1">
        <v>96395</v>
      </c>
      <c r="E3062" s="0" t="inlineStr">
        <is>
          <t>RAE:96395E-2XL</t>
        </is>
      </c>
      <c r="F3062" s="2">
        <v>80009639505</v>
      </c>
      <c r="G3062" s="0" t="inlineStr">
        <is>
          <t>WOMENS</t>
        </is>
      </c>
      <c r="H3062" s="0" t="inlineStr">
        <is>
          <t>2XL</t>
        </is>
      </c>
      <c r="I3062" s="0">
        <v>44.99</v>
      </c>
      <c r="J3062" s="0">
        <v>16</v>
      </c>
    </row>
    <row r="3063" spans="1:10" customHeight="0">
      <c r="A3063" s="0">
        <f>HYPERLINK("https://dl.dropboxusercontent.com/scl/fi/ldqh60dm9pt8fmlyiqd4d/98404f.jpg?rlkey=5wdhgvl9iguzhi9c2mincb2w2&amp;dl=0","Click to download Image")</f>
      </c>
      <c r="B3063" s="0">
        <f>HYPERLINK("https://dl.dropboxusercontent.com/scl/fi/ks521ebiancnsgok7bdx7/size-chartyouth-f.jpg?rlkey=joix5aqj5na1j4xqx8cr0iv01&amp;dl=0","Click to download SizeChart")</f>
      </c>
      <c r="C3063" s="0" t="inlineStr">
        <is>
          <t>Rebecca Youth Sweatshirt</t>
        </is>
      </c>
      <c r="D3063" s="1">
        <v>98404</v>
      </c>
      <c r="E3063" s="0" t="inlineStr">
        <is>
          <t>REBECCA:98404A-YS</t>
        </is>
      </c>
      <c r="G3063" s="0" t="inlineStr">
        <is>
          <t>YOUTH</t>
        </is>
      </c>
      <c r="H3063" s="0" t="inlineStr">
        <is>
          <t>YS</t>
        </is>
      </c>
      <c r="I3063" s="0">
        <v>44.99</v>
      </c>
      <c r="J3063" s="0">
        <v>83</v>
      </c>
    </row>
    <row r="3064" spans="1:10" customHeight="0">
      <c r="A3064" s="0">
        <f>HYPERLINK("https://dl.dropboxusercontent.com/scl/fi/ldqh60dm9pt8fmlyiqd4d/98404f.jpg?rlkey=5wdhgvl9iguzhi9c2mincb2w2&amp;dl=0","Click to download Image")</f>
      </c>
      <c r="B3064" s="0">
        <f>HYPERLINK("https://dl.dropboxusercontent.com/scl/fi/ks521ebiancnsgok7bdx7/size-chartyouth-f.jpg?rlkey=joix5aqj5na1j4xqx8cr0iv01&amp;dl=0","Click to download SizeChart")</f>
      </c>
      <c r="C3064" s="0" t="inlineStr">
        <is>
          <t>Rebecca Youth Sweatshirt</t>
        </is>
      </c>
      <c r="D3064" s="1">
        <v>98404</v>
      </c>
      <c r="E3064" s="0" t="inlineStr">
        <is>
          <t>REBECCA:98404B-YM</t>
        </is>
      </c>
      <c r="G3064" s="0" t="inlineStr">
        <is>
          <t>YOUTH</t>
        </is>
      </c>
      <c r="H3064" s="0" t="inlineStr">
        <is>
          <t>YM</t>
        </is>
      </c>
      <c r="I3064" s="0">
        <v>44.99</v>
      </c>
      <c r="J3064" s="0">
        <v>81</v>
      </c>
    </row>
    <row r="3065" spans="1:10" customHeight="0">
      <c r="A3065" s="0">
        <f>HYPERLINK("https://dl.dropboxusercontent.com/scl/fi/ldqh60dm9pt8fmlyiqd4d/98404f.jpg?rlkey=5wdhgvl9iguzhi9c2mincb2w2&amp;dl=0","Click to download Image")</f>
      </c>
      <c r="B3065" s="0">
        <f>HYPERLINK("https://dl.dropboxusercontent.com/scl/fi/ks521ebiancnsgok7bdx7/size-chartyouth-f.jpg?rlkey=joix5aqj5na1j4xqx8cr0iv01&amp;dl=0","Click to download SizeChart")</f>
      </c>
      <c r="C3065" s="0" t="inlineStr">
        <is>
          <t>Rebecca Youth Sweatshirt</t>
        </is>
      </c>
      <c r="D3065" s="1">
        <v>98404</v>
      </c>
      <c r="E3065" s="0" t="inlineStr">
        <is>
          <t>REBECCA:98404C-YL</t>
        </is>
      </c>
      <c r="G3065" s="0" t="inlineStr">
        <is>
          <t>YOUTH</t>
        </is>
      </c>
      <c r="H3065" s="0" t="inlineStr">
        <is>
          <t>YL</t>
        </is>
      </c>
      <c r="I3065" s="0">
        <v>44.99</v>
      </c>
      <c r="J3065" s="0">
        <v>80</v>
      </c>
    </row>
    <row r="3066" spans="1:10" customHeight="0">
      <c r="A3066" s="0">
        <f>HYPERLINK("https://dl.dropboxusercontent.com/scl/fi/ldqh60dm9pt8fmlyiqd4d/98404f.jpg?rlkey=5wdhgvl9iguzhi9c2mincb2w2&amp;dl=0","Click to download Image")</f>
      </c>
      <c r="B3066" s="0">
        <f>HYPERLINK("https://dl.dropboxusercontent.com/scl/fi/ks521ebiancnsgok7bdx7/size-chartyouth-f.jpg?rlkey=joix5aqj5na1j4xqx8cr0iv01&amp;dl=0","Click to download SizeChart")</f>
      </c>
      <c r="C3066" s="0" t="inlineStr">
        <is>
          <t>Rebecca Youth Sweatshirt</t>
        </is>
      </c>
      <c r="D3066" s="1">
        <v>98404</v>
      </c>
      <c r="E3066" s="0" t="inlineStr">
        <is>
          <t>REBECCA:98404D-YXL</t>
        </is>
      </c>
      <c r="G3066" s="0" t="inlineStr">
        <is>
          <t>YOUTH</t>
        </is>
      </c>
      <c r="H3066" s="0" t="inlineStr">
        <is>
          <t>YXL</t>
        </is>
      </c>
      <c r="I3066" s="0">
        <v>44.99</v>
      </c>
      <c r="J3066" s="0">
        <v>91</v>
      </c>
    </row>
    <row r="3067" spans="1:10" customHeight="0">
      <c r="A3067" s="0">
        <f>HYPERLINK("https://dl.dropboxusercontent.com/scl/fi/9z5shhwjghrrh09e0tr8q/kennedy.jpg?rlkey=fy7l1v3k33nratgcq2tolilxz&amp;dl=0","Click to download Image")</f>
      </c>
      <c r="B3067" s="0">
        <f>HYPERLINK("https://dl.dropboxusercontent.com/scl/fi/f04a21z7msxjvxkn94l5v/ladies-h.jpg?rlkey=5xrnszuvctmlw0yr5luv1afd9&amp;dl=0","Click to download SizeChart")</f>
      </c>
      <c r="C3067" s="0" t="inlineStr">
        <is>
          <t>Kennedy Women's Polo</t>
        </is>
      </c>
      <c r="D3067" s="1">
        <v>94824</v>
      </c>
      <c r="E3067" s="0" t="inlineStr">
        <is>
          <t>KENNEDY:94824A- S</t>
        </is>
      </c>
      <c r="G3067" s="0" t="inlineStr">
        <is>
          <t>WOMENS</t>
        </is>
      </c>
      <c r="H3067" s="0" t="inlineStr">
        <is>
          <t>S</t>
        </is>
      </c>
      <c r="I3067" s="0">
        <v>39.99</v>
      </c>
      <c r="J3067" s="0">
        <v>29</v>
      </c>
    </row>
    <row r="3068" spans="1:10" customHeight="0">
      <c r="A3068" s="0">
        <f>HYPERLINK("https://dl.dropboxusercontent.com/scl/fi/9z5shhwjghrrh09e0tr8q/kennedy.jpg?rlkey=fy7l1v3k33nratgcq2tolilxz&amp;dl=0","Click to download Image")</f>
      </c>
      <c r="B3068" s="0">
        <f>HYPERLINK("https://dl.dropboxusercontent.com/scl/fi/f04a21z7msxjvxkn94l5v/ladies-h.jpg?rlkey=5xrnszuvctmlw0yr5luv1afd9&amp;dl=0","Click to download SizeChart")</f>
      </c>
      <c r="C3068" s="0" t="inlineStr">
        <is>
          <t>Kennedy Women's Polo</t>
        </is>
      </c>
      <c r="D3068" s="1">
        <v>94824</v>
      </c>
      <c r="E3068" s="0" t="inlineStr">
        <is>
          <t>KENNEDY:94824B- M</t>
        </is>
      </c>
      <c r="G3068" s="0" t="inlineStr">
        <is>
          <t>WOMENS</t>
        </is>
      </c>
      <c r="H3068" s="0" t="inlineStr">
        <is>
          <t>M</t>
        </is>
      </c>
      <c r="I3068" s="0">
        <v>39.99</v>
      </c>
      <c r="J3068" s="0">
        <v>27</v>
      </c>
    </row>
    <row r="3069" spans="1:10" customHeight="0">
      <c r="A3069" s="0">
        <f>HYPERLINK("https://dl.dropboxusercontent.com/scl/fi/9z5shhwjghrrh09e0tr8q/kennedy.jpg?rlkey=fy7l1v3k33nratgcq2tolilxz&amp;dl=0","Click to download Image")</f>
      </c>
      <c r="B3069" s="0">
        <f>HYPERLINK("https://dl.dropboxusercontent.com/scl/fi/f04a21z7msxjvxkn94l5v/ladies-h.jpg?rlkey=5xrnszuvctmlw0yr5luv1afd9&amp;dl=0","Click to download SizeChart")</f>
      </c>
      <c r="C3069" s="0" t="inlineStr">
        <is>
          <t>Kennedy Women's Polo</t>
        </is>
      </c>
      <c r="D3069" s="1">
        <v>94824</v>
      </c>
      <c r="E3069" s="0" t="inlineStr">
        <is>
          <t>KENNEDY:94824C- L</t>
        </is>
      </c>
      <c r="G3069" s="0" t="inlineStr">
        <is>
          <t>WOMENS</t>
        </is>
      </c>
      <c r="H3069" s="0" t="inlineStr">
        <is>
          <t>L</t>
        </is>
      </c>
      <c r="I3069" s="0">
        <v>39.99</v>
      </c>
      <c r="J3069" s="0">
        <v>41</v>
      </c>
    </row>
    <row r="3070" spans="1:10" customHeight="0">
      <c r="A3070" s="0">
        <f>HYPERLINK("https://dl.dropboxusercontent.com/scl/fi/9z5shhwjghrrh09e0tr8q/kennedy.jpg?rlkey=fy7l1v3k33nratgcq2tolilxz&amp;dl=0","Click to download Image")</f>
      </c>
      <c r="B3070" s="0">
        <f>HYPERLINK("https://dl.dropboxusercontent.com/scl/fi/f04a21z7msxjvxkn94l5v/ladies-h.jpg?rlkey=5xrnszuvctmlw0yr5luv1afd9&amp;dl=0","Click to download SizeChart")</f>
      </c>
      <c r="C3070" s="0" t="inlineStr">
        <is>
          <t>Kennedy Women's Polo</t>
        </is>
      </c>
      <c r="D3070" s="1">
        <v>94824</v>
      </c>
      <c r="E3070" s="0" t="inlineStr">
        <is>
          <t>KENNEDY:94824D- XL</t>
        </is>
      </c>
      <c r="G3070" s="0" t="inlineStr">
        <is>
          <t>WOMENS</t>
        </is>
      </c>
      <c r="H3070" s="0" t="inlineStr">
        <is>
          <t>XL</t>
        </is>
      </c>
      <c r="I3070" s="0">
        <v>39.99</v>
      </c>
      <c r="J3070" s="0">
        <v>26</v>
      </c>
    </row>
    <row r="3071" spans="1:10" customHeight="0">
      <c r="A3071" s="0">
        <f>HYPERLINK("https://dl.dropboxusercontent.com/scl/fi/9z5shhwjghrrh09e0tr8q/kennedy.jpg?rlkey=fy7l1v3k33nratgcq2tolilxz&amp;dl=0","Click to download Image")</f>
      </c>
      <c r="B3071" s="0">
        <f>HYPERLINK("https://dl.dropboxusercontent.com/scl/fi/f04a21z7msxjvxkn94l5v/ladies-h.jpg?rlkey=5xrnszuvctmlw0yr5luv1afd9&amp;dl=0","Click to download SizeChart")</f>
      </c>
      <c r="C3071" s="0" t="inlineStr">
        <is>
          <t>Kennedy Women's Polo</t>
        </is>
      </c>
      <c r="D3071" s="1">
        <v>94824</v>
      </c>
      <c r="E3071" s="0" t="inlineStr">
        <is>
          <t>KENNEDY:94824E- 2XL</t>
        </is>
      </c>
      <c r="G3071" s="0" t="inlineStr">
        <is>
          <t>WOMENS</t>
        </is>
      </c>
      <c r="H3071" s="0" t="inlineStr">
        <is>
          <t>2XL</t>
        </is>
      </c>
      <c r="I3071" s="0">
        <v>41.99</v>
      </c>
      <c r="J3071" s="0">
        <v>8</v>
      </c>
    </row>
    <row r="3072" spans="1:10" customHeight="0">
      <c r="A3072" s="0">
        <f>HYPERLINK("https://dl.dropboxusercontent.com/scl/fi/px6m4wl1xoc9y1ardmmq2/premier.jpg?rlkey=60bsmhj7ub89atfyop1evs1fr&amp;dl=0","Click to download Image")</f>
      </c>
      <c r="C3072" s="0" t="inlineStr">
        <is>
          <t>Premier 17" Laptop Backpack</t>
        </is>
      </c>
      <c r="D3072" s="1">
        <v>92548</v>
      </c>
      <c r="E3072" s="0" t="inlineStr">
        <is>
          <t>PREMIER:92548-PRM</t>
        </is>
      </c>
      <c r="H3072" s="0" t="inlineStr">
        <is>
          <t>OS</t>
        </is>
      </c>
      <c r="I3072" s="0">
        <v>49.99</v>
      </c>
      <c r="J3072" s="0">
        <v>14</v>
      </c>
    </row>
    <row r="3073" spans="1:10" customHeight="0">
      <c r="A3073" s="0">
        <f>HYPERLINK("https://dl.dropboxusercontent.com/scl/fi/iiydjsnkf4va3db4jhok9/margott.jpg?rlkey=zubojl3wc477eiomc4bwm9kcr&amp;dl=0","Click to download Image")</f>
      </c>
      <c r="B3073" s="0">
        <f>HYPERLINK("https://dl.dropboxusercontent.com/scl/fi/gcg2usamwy4rrkdl330id/size-charts-women-s-standard-relaxed-fit-1.jpg?rlkey=jc3e5xzkjkbm77dfjfngm6eiz&amp;dl=0","Click to download SizeChart")</f>
      </c>
      <c r="C3073" s="0" t="inlineStr">
        <is>
          <t>Margot Women's Jacket</t>
        </is>
      </c>
      <c r="D3073" s="1">
        <v>101801</v>
      </c>
      <c r="E3073" s="0" t="inlineStr">
        <is>
          <t>MARGOT:101801A-S</t>
        </is>
      </c>
      <c r="F3073" s="2">
        <v>80010180101</v>
      </c>
      <c r="G3073" s="0" t="inlineStr">
        <is>
          <t>WOMENS</t>
        </is>
      </c>
      <c r="H3073" s="0" t="inlineStr">
        <is>
          <t>S</t>
        </is>
      </c>
      <c r="I3073" s="0">
        <v>59.99</v>
      </c>
      <c r="J3073" s="0">
        <v>61</v>
      </c>
    </row>
    <row r="3074" spans="1:10" customHeight="0">
      <c r="A3074" s="0">
        <f>HYPERLINK("https://dl.dropboxusercontent.com/scl/fi/iiydjsnkf4va3db4jhok9/margott.jpg?rlkey=zubojl3wc477eiomc4bwm9kcr&amp;dl=0","Click to download Image")</f>
      </c>
      <c r="B3074" s="0">
        <f>HYPERLINK("https://dl.dropboxusercontent.com/scl/fi/gcg2usamwy4rrkdl330id/size-charts-women-s-standard-relaxed-fit-1.jpg?rlkey=jc3e5xzkjkbm77dfjfngm6eiz&amp;dl=0","Click to download SizeChart")</f>
      </c>
      <c r="C3074" s="0" t="inlineStr">
        <is>
          <t>Margot Women's Jacket</t>
        </is>
      </c>
      <c r="D3074" s="1">
        <v>101801</v>
      </c>
      <c r="E3074" s="0" t="inlineStr">
        <is>
          <t>MARGOT:101801B-M</t>
        </is>
      </c>
      <c r="F3074" s="2">
        <v>80010180102</v>
      </c>
      <c r="G3074" s="0" t="inlineStr">
        <is>
          <t>WOMENS</t>
        </is>
      </c>
      <c r="H3074" s="0" t="inlineStr">
        <is>
          <t>M</t>
        </is>
      </c>
      <c r="I3074" s="0">
        <v>59.99</v>
      </c>
      <c r="J3074" s="0">
        <v>63</v>
      </c>
    </row>
    <row r="3075" spans="1:10" customHeight="0">
      <c r="A3075" s="0">
        <f>HYPERLINK("https://dl.dropboxusercontent.com/scl/fi/iiydjsnkf4va3db4jhok9/margott.jpg?rlkey=zubojl3wc477eiomc4bwm9kcr&amp;dl=0","Click to download Image")</f>
      </c>
      <c r="B3075" s="0">
        <f>HYPERLINK("https://dl.dropboxusercontent.com/scl/fi/gcg2usamwy4rrkdl330id/size-charts-women-s-standard-relaxed-fit-1.jpg?rlkey=jc3e5xzkjkbm77dfjfngm6eiz&amp;dl=0","Click to download SizeChart")</f>
      </c>
      <c r="C3075" s="0" t="inlineStr">
        <is>
          <t>Margot Women's Jacket</t>
        </is>
      </c>
      <c r="D3075" s="1">
        <v>101801</v>
      </c>
      <c r="E3075" s="0" t="inlineStr">
        <is>
          <t>MARGOT:101801C-L</t>
        </is>
      </c>
      <c r="F3075" s="2">
        <v>80010180103</v>
      </c>
      <c r="G3075" s="0" t="inlineStr">
        <is>
          <t>WOMENS</t>
        </is>
      </c>
      <c r="H3075" s="0" t="inlineStr">
        <is>
          <t>L</t>
        </is>
      </c>
      <c r="I3075" s="0">
        <v>59.99</v>
      </c>
      <c r="J3075" s="0">
        <v>75</v>
      </c>
    </row>
    <row r="3076" spans="1:10" customHeight="0">
      <c r="A3076" s="0">
        <f>HYPERLINK("https://dl.dropboxusercontent.com/scl/fi/iiydjsnkf4va3db4jhok9/margott.jpg?rlkey=zubojl3wc477eiomc4bwm9kcr&amp;dl=0","Click to download Image")</f>
      </c>
      <c r="B3076" s="0">
        <f>HYPERLINK("https://dl.dropboxusercontent.com/scl/fi/gcg2usamwy4rrkdl330id/size-charts-women-s-standard-relaxed-fit-1.jpg?rlkey=jc3e5xzkjkbm77dfjfngm6eiz&amp;dl=0","Click to download SizeChart")</f>
      </c>
      <c r="C3076" s="0" t="inlineStr">
        <is>
          <t>Margot Women's Jacket</t>
        </is>
      </c>
      <c r="D3076" s="1">
        <v>101801</v>
      </c>
      <c r="E3076" s="0" t="inlineStr">
        <is>
          <t>MARGOT:101801D-XL</t>
        </is>
      </c>
      <c r="F3076" s="2">
        <v>80010180104</v>
      </c>
      <c r="G3076" s="0" t="inlineStr">
        <is>
          <t>WOMENS</t>
        </is>
      </c>
      <c r="H3076" s="0" t="inlineStr">
        <is>
          <t>XL</t>
        </is>
      </c>
      <c r="I3076" s="0">
        <v>59.99</v>
      </c>
      <c r="J3076" s="0">
        <v>48</v>
      </c>
    </row>
    <row r="3077" spans="1:10" customHeight="0">
      <c r="A3077" s="0">
        <f>HYPERLINK("https://dl.dropboxusercontent.com/scl/fi/iiydjsnkf4va3db4jhok9/margott.jpg?rlkey=zubojl3wc477eiomc4bwm9kcr&amp;dl=0","Click to download Image")</f>
      </c>
      <c r="B3077" s="0">
        <f>HYPERLINK("https://dl.dropboxusercontent.com/scl/fi/gcg2usamwy4rrkdl330id/size-charts-women-s-standard-relaxed-fit-1.jpg?rlkey=jc3e5xzkjkbm77dfjfngm6eiz&amp;dl=0","Click to download SizeChart")</f>
      </c>
      <c r="C3077" s="0" t="inlineStr">
        <is>
          <t>Margot Women's Jacket</t>
        </is>
      </c>
      <c r="D3077" s="1">
        <v>101801</v>
      </c>
      <c r="E3077" s="0" t="inlineStr">
        <is>
          <t>MARGOT:101801E-2XL</t>
        </is>
      </c>
      <c r="F3077" s="2">
        <v>80010180105</v>
      </c>
      <c r="G3077" s="0" t="inlineStr">
        <is>
          <t>WOMENS</t>
        </is>
      </c>
      <c r="H3077" s="0" t="inlineStr">
        <is>
          <t>2XL</t>
        </is>
      </c>
      <c r="I3077" s="0">
        <v>61.99</v>
      </c>
      <c r="J3077" s="0">
        <v>48</v>
      </c>
    </row>
    <row r="3078" spans="1:10" customHeight="0">
      <c r="A3078" s="0">
        <f>HYPERLINK("https://dl.dropboxusercontent.com/scl/fi/j8g4ytc68vzy71yykb8mx/piper-02.jpg?rlkey=5xd3pwouiy557v5r24rmn85li&amp;dl=0","Click to download Image")</f>
      </c>
      <c r="C3078" s="0" t="inlineStr">
        <is>
          <t>Piper Infant Bath Robes</t>
        </is>
      </c>
      <c r="D3078" s="1">
        <v>95635</v>
      </c>
      <c r="E3078" s="0" t="inlineStr">
        <is>
          <t>PIPER:95635A- 0/3</t>
        </is>
      </c>
      <c r="G3078" s="0" t="inlineStr">
        <is>
          <t>INFANT</t>
        </is>
      </c>
      <c r="H3078" s="0" t="inlineStr">
        <is>
          <t>0-3M</t>
        </is>
      </c>
      <c r="I3078" s="0">
        <v>29.99</v>
      </c>
      <c r="J3078" s="0">
        <v>22</v>
      </c>
    </row>
    <row r="3079" spans="1:10" customHeight="0">
      <c r="A3079" s="0">
        <f>HYPERLINK("https://dl.dropboxusercontent.com/scl/fi/j8g4ytc68vzy71yykb8mx/piper-02.jpg?rlkey=5xd3pwouiy557v5r24rmn85li&amp;dl=0","Click to download Image")</f>
      </c>
      <c r="C3079" s="0" t="inlineStr">
        <is>
          <t>Piper Infant Bath Robes</t>
        </is>
      </c>
      <c r="D3079" s="1">
        <v>95635</v>
      </c>
      <c r="E3079" s="0" t="inlineStr">
        <is>
          <t>PIPER:95635B- 3/6</t>
        </is>
      </c>
      <c r="G3079" s="0" t="inlineStr">
        <is>
          <t>INFANT</t>
        </is>
      </c>
      <c r="H3079" s="0" t="inlineStr">
        <is>
          <t>3-6M</t>
        </is>
      </c>
      <c r="I3079" s="0">
        <v>29.99</v>
      </c>
      <c r="J3079" s="0">
        <v>20</v>
      </c>
    </row>
    <row r="3080" spans="1:10" customHeight="0">
      <c r="A3080" s="0">
        <f>HYPERLINK("https://dl.dropboxusercontent.com/scl/fi/j8g4ytc68vzy71yykb8mx/piper-02.jpg?rlkey=5xd3pwouiy557v5r24rmn85li&amp;dl=0","Click to download Image")</f>
      </c>
      <c r="C3080" s="0" t="inlineStr">
        <is>
          <t>Piper Infant Bath Robes</t>
        </is>
      </c>
      <c r="D3080" s="1">
        <v>95635</v>
      </c>
      <c r="E3080" s="0" t="inlineStr">
        <is>
          <t>PIPER:95635C- 6/9</t>
        </is>
      </c>
      <c r="G3080" s="0" t="inlineStr">
        <is>
          <t>INFANT</t>
        </is>
      </c>
      <c r="H3080" s="0" t="inlineStr">
        <is>
          <t>6-9M</t>
        </is>
      </c>
      <c r="I3080" s="0">
        <v>29.99</v>
      </c>
      <c r="J3080" s="0">
        <v>18</v>
      </c>
    </row>
    <row r="3081" spans="1:10" customHeight="0">
      <c r="A3081" s="0">
        <f>HYPERLINK("https://dl.dropboxusercontent.com/scl/fi/j8g4ytc68vzy71yykb8mx/piper-02.jpg?rlkey=5xd3pwouiy557v5r24rmn85li&amp;dl=0","Click to download Image")</f>
      </c>
      <c r="C3081" s="0" t="inlineStr">
        <is>
          <t>Piper Infant Bath Robes</t>
        </is>
      </c>
      <c r="D3081" s="1">
        <v>95635</v>
      </c>
      <c r="E3081" s="0" t="inlineStr">
        <is>
          <t>PIPER:95635D- 9/12</t>
        </is>
      </c>
      <c r="G3081" s="0" t="inlineStr">
        <is>
          <t>INFANT</t>
        </is>
      </c>
      <c r="H3081" s="0" t="inlineStr">
        <is>
          <t>12M</t>
        </is>
      </c>
      <c r="I3081" s="0">
        <v>29.99</v>
      </c>
      <c r="J3081" s="0">
        <v>30</v>
      </c>
    </row>
    <row r="3082" spans="1:10" customHeight="0">
      <c r="A3082" s="0">
        <f>HYPERLINK("https://dl.dropboxusercontent.com/scl/fi/scvm04yi5njnveqn37p9p/piper-03.jpg?rlkey=0stysqq7bewgl7yyhtsxzyw8d&amp;dl=0","Click to download Image")</f>
      </c>
      <c r="C3082" s="0" t="inlineStr">
        <is>
          <t>Piper Infant Bath Robes</t>
        </is>
      </c>
      <c r="D3082" s="1">
        <v>95634</v>
      </c>
      <c r="E3082" s="0" t="inlineStr">
        <is>
          <t>PIPER:95634A- 0/3</t>
        </is>
      </c>
      <c r="G3082" s="0" t="inlineStr">
        <is>
          <t>INFANT</t>
        </is>
      </c>
      <c r="H3082" s="0" t="inlineStr">
        <is>
          <t>0-3M</t>
        </is>
      </c>
      <c r="I3082" s="0">
        <v>29.99</v>
      </c>
      <c r="J3082" s="0">
        <v>28</v>
      </c>
    </row>
    <row r="3083" spans="1:10" customHeight="0">
      <c r="A3083" s="0">
        <f>HYPERLINK("https://dl.dropboxusercontent.com/scl/fi/scvm04yi5njnveqn37p9p/piper-03.jpg?rlkey=0stysqq7bewgl7yyhtsxzyw8d&amp;dl=0","Click to download Image")</f>
      </c>
      <c r="C3083" s="0" t="inlineStr">
        <is>
          <t>Piper Infant Bath Robes</t>
        </is>
      </c>
      <c r="D3083" s="1">
        <v>95634</v>
      </c>
      <c r="E3083" s="0" t="inlineStr">
        <is>
          <t>PIPER:95634B-3/6</t>
        </is>
      </c>
      <c r="G3083" s="0" t="inlineStr">
        <is>
          <t>INFANT</t>
        </is>
      </c>
      <c r="H3083" s="0" t="inlineStr">
        <is>
          <t>3-6M</t>
        </is>
      </c>
      <c r="I3083" s="0">
        <v>29.99</v>
      </c>
      <c r="J3083" s="0">
        <v>8</v>
      </c>
    </row>
    <row r="3084" spans="1:10" customHeight="0">
      <c r="A3084" s="0">
        <f>HYPERLINK("https://dl.dropboxusercontent.com/scl/fi/scvm04yi5njnveqn37p9p/piper-03.jpg?rlkey=0stysqq7bewgl7yyhtsxzyw8d&amp;dl=0","Click to download Image")</f>
      </c>
      <c r="C3084" s="0" t="inlineStr">
        <is>
          <t>Piper Infant Bath Robes</t>
        </is>
      </c>
      <c r="D3084" s="1">
        <v>95634</v>
      </c>
      <c r="E3084" s="0" t="inlineStr">
        <is>
          <t>PIPER:95634C- 6/9</t>
        </is>
      </c>
      <c r="G3084" s="0" t="inlineStr">
        <is>
          <t>INFANT</t>
        </is>
      </c>
      <c r="H3084" s="0" t="inlineStr">
        <is>
          <t>6-9M</t>
        </is>
      </c>
      <c r="I3084" s="0">
        <v>29.99</v>
      </c>
      <c r="J3084" s="0">
        <v>15</v>
      </c>
    </row>
    <row r="3085" spans="1:10" customHeight="0">
      <c r="A3085" s="0">
        <f>HYPERLINK("https://dl.dropboxusercontent.com/scl/fi/scvm04yi5njnveqn37p9p/piper-03.jpg?rlkey=0stysqq7bewgl7yyhtsxzyw8d&amp;dl=0","Click to download Image")</f>
      </c>
      <c r="C3085" s="0" t="inlineStr">
        <is>
          <t>Piper Infant Bath Robes</t>
        </is>
      </c>
      <c r="D3085" s="1">
        <v>95634</v>
      </c>
      <c r="E3085" s="0" t="inlineStr">
        <is>
          <t>PIPER:95634D- 9-12</t>
        </is>
      </c>
      <c r="G3085" s="0" t="inlineStr">
        <is>
          <t>INFANT</t>
        </is>
      </c>
      <c r="H3085" s="0" t="inlineStr">
        <is>
          <t>12M</t>
        </is>
      </c>
      <c r="I3085" s="0">
        <v>29.99</v>
      </c>
      <c r="J3085" s="0">
        <v>25</v>
      </c>
    </row>
    <row r="3086" spans="1:10" customHeight="0">
      <c r="A3086" s="0">
        <f>HYPERLINK("https://dl.dropboxusercontent.com/scl/fi/jcq7dr86gr3ke3yo8t4dp/dsc1652-copy.jpg?rlkey=4qh75e5v82cmnkipagb8t1tjf&amp;dl=0","Click to download Image")</f>
      </c>
      <c r="B3086" s="0">
        <f>HYPERLINK("https://dl.dropboxusercontent.com/scl/fi/unvk2372gpan6mg22iolr/10-18-size-chartswomens.jpg?rlkey=vl9g5f12s2z3gse4r8mnb2sa6&amp;dl=0","Click to download SizeChart")</f>
      </c>
      <c r="C3086" s="0" t="inlineStr">
        <is>
          <t>Natalie Women's Plaid Long Sleeve Shirt</t>
        </is>
      </c>
      <c r="D3086" s="1">
        <v>105511</v>
      </c>
      <c r="E3086" s="0" t="inlineStr">
        <is>
          <t>NATALIE:105511A-S</t>
        </is>
      </c>
      <c r="G3086" s="0" t="inlineStr">
        <is>
          <t>WOMENS</t>
        </is>
      </c>
      <c r="H3086" s="0" t="inlineStr">
        <is>
          <t>S</t>
        </is>
      </c>
      <c r="I3086" s="0">
        <v>39.99</v>
      </c>
      <c r="J3086" s="0">
        <v>30</v>
      </c>
    </row>
    <row r="3087" spans="1:10" customHeight="0">
      <c r="A3087" s="0">
        <f>HYPERLINK("https://dl.dropboxusercontent.com/scl/fi/jcq7dr86gr3ke3yo8t4dp/dsc1652-copy.jpg?rlkey=4qh75e5v82cmnkipagb8t1tjf&amp;dl=0","Click to download Image")</f>
      </c>
      <c r="B3087" s="0">
        <f>HYPERLINK("https://dl.dropboxusercontent.com/scl/fi/unvk2372gpan6mg22iolr/10-18-size-chartswomens.jpg?rlkey=vl9g5f12s2z3gse4r8mnb2sa6&amp;dl=0","Click to download SizeChart")</f>
      </c>
      <c r="C3087" s="0" t="inlineStr">
        <is>
          <t>Natalie Women's Plaid Long Sleeve Shirt</t>
        </is>
      </c>
      <c r="D3087" s="1">
        <v>105511</v>
      </c>
      <c r="E3087" s="0" t="inlineStr">
        <is>
          <t>NATALIE:105511B-M</t>
        </is>
      </c>
      <c r="G3087" s="0" t="inlineStr">
        <is>
          <t>WOMENS</t>
        </is>
      </c>
      <c r="H3087" s="0" t="inlineStr">
        <is>
          <t>M</t>
        </is>
      </c>
      <c r="I3087" s="0">
        <v>39.99</v>
      </c>
      <c r="J3087" s="0">
        <v>32</v>
      </c>
    </row>
    <row r="3088" spans="1:10" customHeight="0">
      <c r="A3088" s="0">
        <f>HYPERLINK("https://dl.dropboxusercontent.com/scl/fi/jcq7dr86gr3ke3yo8t4dp/dsc1652-copy.jpg?rlkey=4qh75e5v82cmnkipagb8t1tjf&amp;dl=0","Click to download Image")</f>
      </c>
      <c r="B3088" s="0">
        <f>HYPERLINK("https://dl.dropboxusercontent.com/scl/fi/unvk2372gpan6mg22iolr/10-18-size-chartswomens.jpg?rlkey=vl9g5f12s2z3gse4r8mnb2sa6&amp;dl=0","Click to download SizeChart")</f>
      </c>
      <c r="C3088" s="0" t="inlineStr">
        <is>
          <t>Natalie Women's Plaid Long Sleeve Shirt</t>
        </is>
      </c>
      <c r="D3088" s="1">
        <v>105511</v>
      </c>
      <c r="E3088" s="0" t="inlineStr">
        <is>
          <t>NATALIE:105511E-2XL</t>
        </is>
      </c>
      <c r="G3088" s="0" t="inlineStr">
        <is>
          <t>WOMENS</t>
        </is>
      </c>
      <c r="H3088" s="0" t="inlineStr">
        <is>
          <t>2XL</t>
        </is>
      </c>
      <c r="I3088" s="0">
        <v>39.99</v>
      </c>
      <c r="J3088" s="0">
        <v>27</v>
      </c>
    </row>
    <row r="3089" spans="1:10" customHeight="0">
      <c r="A3089" s="0">
        <f>HYPERLINK("https://dl.dropboxusercontent.com/scl/fi/jcq7dr86gr3ke3yo8t4dp/dsc1652-copy.jpg?rlkey=4qh75e5v82cmnkipagb8t1tjf&amp;dl=0","Click to download Image")</f>
      </c>
      <c r="B3089" s="0">
        <f>HYPERLINK("https://dl.dropboxusercontent.com/scl/fi/unvk2372gpan6mg22iolr/10-18-size-chartswomens.jpg?rlkey=vl9g5f12s2z3gse4r8mnb2sa6&amp;dl=0","Click to download SizeChart")</f>
      </c>
      <c r="C3089" s="0" t="inlineStr">
        <is>
          <t>Natalie Women's Plaid Long Sleeve Shirt</t>
        </is>
      </c>
      <c r="D3089" s="1">
        <v>105511</v>
      </c>
      <c r="E3089" s="0" t="inlineStr">
        <is>
          <t>NATALIE:105511F-3XL</t>
        </is>
      </c>
      <c r="G3089" s="0" t="inlineStr">
        <is>
          <t>WOMENS</t>
        </is>
      </c>
      <c r="H3089" s="0" t="inlineStr">
        <is>
          <t>3XL</t>
        </is>
      </c>
      <c r="I3089" s="0">
        <v>39.99</v>
      </c>
      <c r="J3089" s="0">
        <v>1</v>
      </c>
    </row>
    <row r="3090" spans="1:10" customHeight="0">
      <c r="A3090" s="0">
        <f>HYPERLINK("https://dl.dropboxusercontent.com/scl/fi/4g1rbjc3n6id77sq2i4q1/98813af.jpg?rlkey=v3pm6zu6xwm03k0jhvx87ftul&amp;dl=0","Click to download Image")</f>
      </c>
      <c r="C3090" s="0" t="inlineStr">
        <is>
          <t>Heather Youth Leggings</t>
        </is>
      </c>
      <c r="D3090" s="1">
        <v>98813</v>
      </c>
      <c r="E3090" s="0" t="inlineStr">
        <is>
          <t>HEATHER:98813A-YS</t>
        </is>
      </c>
      <c r="G3090" s="0" t="inlineStr">
        <is>
          <t>YOUTH</t>
        </is>
      </c>
      <c r="H3090" s="0" t="inlineStr">
        <is>
          <t>YS</t>
        </is>
      </c>
      <c r="I3090" s="0">
        <v>29.99</v>
      </c>
      <c r="J3090" s="0">
        <v>28</v>
      </c>
    </row>
    <row r="3091" spans="1:10" customHeight="0">
      <c r="A3091" s="0">
        <f>HYPERLINK("https://dl.dropboxusercontent.com/scl/fi/4g1rbjc3n6id77sq2i4q1/98813af.jpg?rlkey=v3pm6zu6xwm03k0jhvx87ftul&amp;dl=0","Click to download Image")</f>
      </c>
      <c r="C3091" s="0" t="inlineStr">
        <is>
          <t>Heather Youth Leggings</t>
        </is>
      </c>
      <c r="D3091" s="1">
        <v>98813</v>
      </c>
      <c r="E3091" s="0" t="inlineStr">
        <is>
          <t>HEATHER:98813B-YM</t>
        </is>
      </c>
      <c r="G3091" s="0" t="inlineStr">
        <is>
          <t>YOUTH</t>
        </is>
      </c>
      <c r="H3091" s="0" t="inlineStr">
        <is>
          <t>YM</t>
        </is>
      </c>
      <c r="I3091" s="0">
        <v>29.99</v>
      </c>
      <c r="J3091" s="0">
        <v>27</v>
      </c>
    </row>
    <row r="3092" spans="1:10" customHeight="0">
      <c r="A3092" s="0">
        <f>HYPERLINK("https://dl.dropboxusercontent.com/scl/fi/4g1rbjc3n6id77sq2i4q1/98813af.jpg?rlkey=v3pm6zu6xwm03k0jhvx87ftul&amp;dl=0","Click to download Image")</f>
      </c>
      <c r="C3092" s="0" t="inlineStr">
        <is>
          <t>Heather Youth Leggings</t>
        </is>
      </c>
      <c r="D3092" s="1">
        <v>98813</v>
      </c>
      <c r="E3092" s="0" t="inlineStr">
        <is>
          <t>HEATHER:98813C-YL</t>
        </is>
      </c>
      <c r="G3092" s="0" t="inlineStr">
        <is>
          <t>YOUTH</t>
        </is>
      </c>
      <c r="H3092" s="0" t="inlineStr">
        <is>
          <t>YL</t>
        </is>
      </c>
      <c r="I3092" s="0">
        <v>29.99</v>
      </c>
      <c r="J3092" s="0">
        <v>34</v>
      </c>
    </row>
    <row r="3093" spans="1:10" customHeight="0">
      <c r="A3093" s="0">
        <f>HYPERLINK("https://dl.dropboxusercontent.com/scl/fi/4g1rbjc3n6id77sq2i4q1/98813af.jpg?rlkey=v3pm6zu6xwm03k0jhvx87ftul&amp;dl=0","Click to download Image")</f>
      </c>
      <c r="C3093" s="0" t="inlineStr">
        <is>
          <t>Heather Youth Leggings</t>
        </is>
      </c>
      <c r="D3093" s="1">
        <v>98813</v>
      </c>
      <c r="E3093" s="0" t="inlineStr">
        <is>
          <t>HEATHER:98813D-YXL</t>
        </is>
      </c>
      <c r="G3093" s="0" t="inlineStr">
        <is>
          <t>YOUTH</t>
        </is>
      </c>
      <c r="H3093" s="0" t="inlineStr">
        <is>
          <t>YXL</t>
        </is>
      </c>
      <c r="I3093" s="0">
        <v>29.99</v>
      </c>
      <c r="J3093" s="0">
        <v>37</v>
      </c>
    </row>
    <row r="3094" spans="1:10" customHeight="0">
      <c r="A3094" s="0">
        <f>HYPERLINK("https://dl.dropboxusercontent.com/scl/fi/tkfozmijjssvs8q5tc3s2/101345t.jpg?rlkey=8hmk0319vkwq9ezf3kzptjqye&amp;dl=0","Click to download Image")</f>
      </c>
      <c r="C3094" s="0" t="inlineStr">
        <is>
          <t>Larkin Realtree Camo Cap</t>
        </is>
      </c>
      <c r="D3094" s="1">
        <v>101345</v>
      </c>
      <c r="E3094" s="0" t="inlineStr">
        <is>
          <t>LARKIN:101345</t>
        </is>
      </c>
      <c r="F3094" s="2">
        <v>70010134501</v>
      </c>
      <c r="G3094" s="0" t="inlineStr">
        <is>
          <t>YOUTH</t>
        </is>
      </c>
      <c r="H3094" s="0" t="inlineStr">
        <is>
          <t>YOUTH</t>
        </is>
      </c>
      <c r="I3094" s="0">
        <v>21.99</v>
      </c>
      <c r="J3094" s="0">
        <v>113</v>
      </c>
    </row>
    <row r="3095" spans="1:10" customHeight="0">
      <c r="A3095" s="0">
        <f>HYPERLINK("https://dl.dropboxusercontent.com/scl/fi/g8ohcj9oub0xwoiddoca6/98813af.jpg?rlkey=iayz9p85ckyx3jzpklvb93mo6&amp;dl=0","Click to download Image")</f>
      </c>
      <c r="C3095" s="0" t="inlineStr">
        <is>
          <t>Heather Toddler Leggings</t>
        </is>
      </c>
      <c r="D3095" s="1">
        <v>101918</v>
      </c>
      <c r="E3095" s="0" t="inlineStr">
        <is>
          <t>HEATHER:101918A-2T</t>
        </is>
      </c>
      <c r="G3095" s="0" t="inlineStr">
        <is>
          <t>TODDLER</t>
        </is>
      </c>
      <c r="H3095" s="0" t="inlineStr">
        <is>
          <t>2T</t>
        </is>
      </c>
      <c r="I3095" s="0">
        <v>29.99</v>
      </c>
      <c r="J3095" s="0">
        <v>3</v>
      </c>
    </row>
    <row r="3096" spans="1:10" customHeight="0">
      <c r="A3096" s="0">
        <f>HYPERLINK("https://dl.dropboxusercontent.com/scl/fi/g8ohcj9oub0xwoiddoca6/98813af.jpg?rlkey=iayz9p85ckyx3jzpklvb93mo6&amp;dl=0","Click to download Image")</f>
      </c>
      <c r="C3096" s="0" t="inlineStr">
        <is>
          <t>Heather Toddler Leggings</t>
        </is>
      </c>
      <c r="D3096" s="1">
        <v>101918</v>
      </c>
      <c r="E3096" s="0" t="inlineStr">
        <is>
          <t>HEATHER:101918B-3T</t>
        </is>
      </c>
      <c r="G3096" s="0" t="inlineStr">
        <is>
          <t>TODDLER</t>
        </is>
      </c>
      <c r="H3096" s="0" t="inlineStr">
        <is>
          <t>3T</t>
        </is>
      </c>
      <c r="I3096" s="0">
        <v>29.99</v>
      </c>
      <c r="J3096" s="0">
        <v>0</v>
      </c>
    </row>
    <row r="3097" spans="1:10" customHeight="0">
      <c r="A3097" s="0">
        <f>HYPERLINK("https://dl.dropboxusercontent.com/scl/fi/g8ohcj9oub0xwoiddoca6/98813af.jpg?rlkey=iayz9p85ckyx3jzpklvb93mo6&amp;dl=0","Click to download Image")</f>
      </c>
      <c r="C3097" s="0" t="inlineStr">
        <is>
          <t>Heather Toddler Leggings</t>
        </is>
      </c>
      <c r="D3097" s="1">
        <v>101918</v>
      </c>
      <c r="E3097" s="0" t="inlineStr">
        <is>
          <t>HEATHER:101918C-4T</t>
        </is>
      </c>
      <c r="G3097" s="0" t="inlineStr">
        <is>
          <t>TODDLER</t>
        </is>
      </c>
      <c r="H3097" s="0" t="inlineStr">
        <is>
          <t>4T</t>
        </is>
      </c>
      <c r="I3097" s="0">
        <v>29.99</v>
      </c>
      <c r="J3097" s="0">
        <v>0</v>
      </c>
    </row>
    <row r="3098" spans="1:10" customHeight="0">
      <c r="A3098" s="0">
        <f>HYPERLINK("https://dl.dropboxusercontent.com/scl/fi/g8ohcj9oub0xwoiddoca6/98813af.jpg?rlkey=iayz9p85ckyx3jzpklvb93mo6&amp;dl=0","Click to download Image")</f>
      </c>
      <c r="C3098" s="0" t="inlineStr">
        <is>
          <t>Heather Toddler Leggings</t>
        </is>
      </c>
      <c r="D3098" s="1">
        <v>101918</v>
      </c>
      <c r="E3098" s="0" t="inlineStr">
        <is>
          <t>HEATHER:101918D-5T</t>
        </is>
      </c>
      <c r="G3098" s="0" t="inlineStr">
        <is>
          <t>TODDLER</t>
        </is>
      </c>
      <c r="H3098" s="0" t="inlineStr">
        <is>
          <t>5T</t>
        </is>
      </c>
      <c r="I3098" s="0">
        <v>29.99</v>
      </c>
      <c r="J3098" s="0">
        <v>9</v>
      </c>
    </row>
    <row r="3099" spans="1:10" customHeight="0">
      <c r="A3099" s="0">
        <f>HYPERLINK("https://dl.dropboxusercontent.com/scl/fi/bazckbvwd544d2yp7v5h9/ia-patsy-1.jpg?rlkey=ziipajgpddd06ii96ag8uecq6&amp;dl=0","Click to download Image")</f>
      </c>
      <c r="B3099" s="0">
        <f>HYPERLINK("https://dl.dropboxusercontent.com/scl/fi/2dger8vbrelxq2ce01n8i/womens-size-chartspatsy.jpg?rlkey=e9y9ldfrc5dy1wtn0ishm5tt7&amp;dl=0","Click to download SizeChart")</f>
      </c>
      <c r="C3099" s="0" t="inlineStr">
        <is>
          <t>Patsy Women's Puffer Hooded Jacket</t>
        </is>
      </c>
      <c r="D3099" s="1">
        <v>101405</v>
      </c>
      <c r="E3099" s="0" t="inlineStr">
        <is>
          <t>PATSY:101405A-S</t>
        </is>
      </c>
      <c r="G3099" s="0" t="inlineStr">
        <is>
          <t>WOMENS</t>
        </is>
      </c>
      <c r="H3099" s="0" t="inlineStr">
        <is>
          <t>S</t>
        </is>
      </c>
      <c r="I3099" s="0">
        <v>149.99</v>
      </c>
      <c r="J3099" s="0">
        <v>6</v>
      </c>
    </row>
    <row r="3100" spans="1:10" customHeight="0">
      <c r="A3100" s="0">
        <f>HYPERLINK("https://dl.dropboxusercontent.com/scl/fi/bazckbvwd544d2yp7v5h9/ia-patsy-1.jpg?rlkey=ziipajgpddd06ii96ag8uecq6&amp;dl=0","Click to download Image")</f>
      </c>
      <c r="B3100" s="0">
        <f>HYPERLINK("https://dl.dropboxusercontent.com/scl/fi/2dger8vbrelxq2ce01n8i/womens-size-chartspatsy.jpg?rlkey=e9y9ldfrc5dy1wtn0ishm5tt7&amp;dl=0","Click to download SizeChart")</f>
      </c>
      <c r="C3100" s="0" t="inlineStr">
        <is>
          <t>Patsy Women's Puffer Hooded Jacket</t>
        </is>
      </c>
      <c r="D3100" s="1">
        <v>101405</v>
      </c>
      <c r="E3100" s="0" t="inlineStr">
        <is>
          <t>PATSY:101405B-M</t>
        </is>
      </c>
      <c r="G3100" s="0" t="inlineStr">
        <is>
          <t>WOMENS</t>
        </is>
      </c>
      <c r="H3100" s="0" t="inlineStr">
        <is>
          <t>M</t>
        </is>
      </c>
      <c r="I3100" s="0">
        <v>149.99</v>
      </c>
      <c r="J3100" s="0">
        <v>10</v>
      </c>
    </row>
    <row r="3101" spans="1:10" customHeight="0">
      <c r="A3101" s="0">
        <f>HYPERLINK("https://dl.dropboxusercontent.com/scl/fi/bazckbvwd544d2yp7v5h9/ia-patsy-1.jpg?rlkey=ziipajgpddd06ii96ag8uecq6&amp;dl=0","Click to download Image")</f>
      </c>
      <c r="B3101" s="0">
        <f>HYPERLINK("https://dl.dropboxusercontent.com/scl/fi/2dger8vbrelxq2ce01n8i/womens-size-chartspatsy.jpg?rlkey=e9y9ldfrc5dy1wtn0ishm5tt7&amp;dl=0","Click to download SizeChart")</f>
      </c>
      <c r="C3101" s="0" t="inlineStr">
        <is>
          <t>Patsy Women's Puffer Hooded Jacket</t>
        </is>
      </c>
      <c r="D3101" s="1">
        <v>101405</v>
      </c>
      <c r="E3101" s="0" t="inlineStr">
        <is>
          <t>PATSY:101405C-L</t>
        </is>
      </c>
      <c r="G3101" s="0" t="inlineStr">
        <is>
          <t>WOMENS</t>
        </is>
      </c>
      <c r="H3101" s="0" t="inlineStr">
        <is>
          <t>L</t>
        </is>
      </c>
      <c r="I3101" s="0">
        <v>149.99</v>
      </c>
      <c r="J3101" s="0">
        <v>31</v>
      </c>
    </row>
    <row r="3102" spans="1:10" customHeight="0">
      <c r="A3102" s="0">
        <f>HYPERLINK("https://dl.dropboxusercontent.com/scl/fi/bazckbvwd544d2yp7v5h9/ia-patsy-1.jpg?rlkey=ziipajgpddd06ii96ag8uecq6&amp;dl=0","Click to download Image")</f>
      </c>
      <c r="B3102" s="0">
        <f>HYPERLINK("https://dl.dropboxusercontent.com/scl/fi/2dger8vbrelxq2ce01n8i/womens-size-chartspatsy.jpg?rlkey=e9y9ldfrc5dy1wtn0ishm5tt7&amp;dl=0","Click to download SizeChart")</f>
      </c>
      <c r="C3102" s="0" t="inlineStr">
        <is>
          <t>Patsy Women's Puffer Hooded Jacket</t>
        </is>
      </c>
      <c r="D3102" s="1">
        <v>101405</v>
      </c>
      <c r="E3102" s="0" t="inlineStr">
        <is>
          <t>PATSY:101405D-XL</t>
        </is>
      </c>
      <c r="G3102" s="0" t="inlineStr">
        <is>
          <t>WOMENS</t>
        </is>
      </c>
      <c r="H3102" s="0" t="inlineStr">
        <is>
          <t>XL</t>
        </is>
      </c>
      <c r="I3102" s="0">
        <v>149.99</v>
      </c>
      <c r="J3102" s="0">
        <v>28</v>
      </c>
    </row>
    <row r="3103" spans="1:10" customHeight="0">
      <c r="A3103" s="0">
        <f>HYPERLINK("https://dl.dropboxusercontent.com/scl/fi/bazckbvwd544d2yp7v5h9/ia-patsy-1.jpg?rlkey=ziipajgpddd06ii96ag8uecq6&amp;dl=0","Click to download Image")</f>
      </c>
      <c r="B3103" s="0">
        <f>HYPERLINK("https://dl.dropboxusercontent.com/scl/fi/2dger8vbrelxq2ce01n8i/womens-size-chartspatsy.jpg?rlkey=e9y9ldfrc5dy1wtn0ishm5tt7&amp;dl=0","Click to download SizeChart")</f>
      </c>
      <c r="C3103" s="0" t="inlineStr">
        <is>
          <t>Patsy Women's Puffer Hooded Jacket</t>
        </is>
      </c>
      <c r="D3103" s="1">
        <v>101405</v>
      </c>
      <c r="E3103" s="0" t="inlineStr">
        <is>
          <t>PATSY:101405E-2XL</t>
        </is>
      </c>
      <c r="G3103" s="0" t="inlineStr">
        <is>
          <t>WOMENS</t>
        </is>
      </c>
      <c r="H3103" s="0" t="inlineStr">
        <is>
          <t>2XL</t>
        </is>
      </c>
      <c r="I3103" s="0">
        <v>151.99</v>
      </c>
      <c r="J3103" s="0">
        <v>13</v>
      </c>
    </row>
    <row r="3104" spans="1:10" customHeight="0">
      <c r="A3104" s="0">
        <f>HYPERLINK("https://dl.dropboxusercontent.com/scl/fi/bazckbvwd544d2yp7v5h9/ia-patsy-1.jpg?rlkey=ziipajgpddd06ii96ag8uecq6&amp;dl=0","Click to download Image")</f>
      </c>
      <c r="B3104" s="0">
        <f>HYPERLINK("https://dl.dropboxusercontent.com/scl/fi/2dger8vbrelxq2ce01n8i/womens-size-chartspatsy.jpg?rlkey=e9y9ldfrc5dy1wtn0ishm5tt7&amp;dl=0","Click to download SizeChart")</f>
      </c>
      <c r="C3104" s="0" t="inlineStr">
        <is>
          <t>Patsy Women's Puffer Hooded Jacket</t>
        </is>
      </c>
      <c r="D3104" s="1">
        <v>101405</v>
      </c>
      <c r="E3104" s="0" t="inlineStr">
        <is>
          <t>PATSY:101405F-3XL</t>
        </is>
      </c>
      <c r="G3104" s="0" t="inlineStr">
        <is>
          <t>WOMENS</t>
        </is>
      </c>
      <c r="H3104" s="0" t="inlineStr">
        <is>
          <t>3XL</t>
        </is>
      </c>
      <c r="I3104" s="0">
        <v>151.99</v>
      </c>
      <c r="J3104" s="0">
        <v>10</v>
      </c>
    </row>
    <row r="3105" spans="1:10" customHeight="0">
      <c r="A3105" s="0">
        <f>HYPERLINK("https://dl.dropboxusercontent.com/scl/fi/j6969wtxsq9k9tz3icz0m/98901af.jpg?rlkey=uki34qwiu6w0ungd75ichqwtg&amp;dl=0","Click to download Image")</f>
      </c>
      <c r="B3105" s="0">
        <f>HYPERLINK("https://dl.dropboxusercontent.com/scl/fi/5q6uegj3tulxb85qhiyi0/graphic-update22022-youth.jpg?rlkey=htxxffae98d7i1wqjgw4uw1oo&amp;dl=0","Click to download SizeChart")</f>
      </c>
      <c r="C3105" s="0" t="inlineStr">
        <is>
          <t>Harley Youth Rain Jacket</t>
        </is>
      </c>
      <c r="D3105" s="1">
        <v>98901</v>
      </c>
      <c r="E3105" s="0" t="inlineStr">
        <is>
          <t>HARLEY:98901A-YS</t>
        </is>
      </c>
      <c r="G3105" s="0" t="inlineStr">
        <is>
          <t>YOUTH</t>
        </is>
      </c>
      <c r="H3105" s="0" t="inlineStr">
        <is>
          <t>YS</t>
        </is>
      </c>
      <c r="I3105" s="0">
        <v>42.99</v>
      </c>
      <c r="J3105" s="0">
        <v>53</v>
      </c>
    </row>
    <row r="3106" spans="1:10" customHeight="0">
      <c r="A3106" s="0">
        <f>HYPERLINK("https://dl.dropboxusercontent.com/scl/fi/j6969wtxsq9k9tz3icz0m/98901af.jpg?rlkey=uki34qwiu6w0ungd75ichqwtg&amp;dl=0","Click to download Image")</f>
      </c>
      <c r="B3106" s="0">
        <f>HYPERLINK("https://dl.dropboxusercontent.com/scl/fi/5q6uegj3tulxb85qhiyi0/graphic-update22022-youth.jpg?rlkey=htxxffae98d7i1wqjgw4uw1oo&amp;dl=0","Click to download SizeChart")</f>
      </c>
      <c r="C3106" s="0" t="inlineStr">
        <is>
          <t>Harley Youth Rain Jacket</t>
        </is>
      </c>
      <c r="D3106" s="1">
        <v>98901</v>
      </c>
      <c r="E3106" s="0" t="inlineStr">
        <is>
          <t>HARLEY:98901B-YM</t>
        </is>
      </c>
      <c r="G3106" s="0" t="inlineStr">
        <is>
          <t>YOUTH</t>
        </is>
      </c>
      <c r="H3106" s="0" t="inlineStr">
        <is>
          <t>YM</t>
        </is>
      </c>
      <c r="I3106" s="0">
        <v>42.99</v>
      </c>
      <c r="J3106" s="0">
        <v>53</v>
      </c>
    </row>
    <row r="3107" spans="1:10" customHeight="0">
      <c r="A3107" s="0">
        <f>HYPERLINK("https://dl.dropboxusercontent.com/scl/fi/j6969wtxsq9k9tz3icz0m/98901af.jpg?rlkey=uki34qwiu6w0ungd75ichqwtg&amp;dl=0","Click to download Image")</f>
      </c>
      <c r="B3107" s="0">
        <f>HYPERLINK("https://dl.dropboxusercontent.com/scl/fi/5q6uegj3tulxb85qhiyi0/graphic-update22022-youth.jpg?rlkey=htxxffae98d7i1wqjgw4uw1oo&amp;dl=0","Click to download SizeChart")</f>
      </c>
      <c r="C3107" s="0" t="inlineStr">
        <is>
          <t>Harley Youth Rain Jacket</t>
        </is>
      </c>
      <c r="D3107" s="1">
        <v>98901</v>
      </c>
      <c r="E3107" s="0" t="inlineStr">
        <is>
          <t>HARLEY:98901C-YL</t>
        </is>
      </c>
      <c r="G3107" s="0" t="inlineStr">
        <is>
          <t>YOUTH</t>
        </is>
      </c>
      <c r="H3107" s="0" t="inlineStr">
        <is>
          <t>YL</t>
        </is>
      </c>
      <c r="I3107" s="0">
        <v>42.99</v>
      </c>
      <c r="J3107" s="0">
        <v>45</v>
      </c>
    </row>
    <row r="3108" spans="1:10" customHeight="0">
      <c r="A3108" s="0">
        <f>HYPERLINK("https://dl.dropboxusercontent.com/scl/fi/j6969wtxsq9k9tz3icz0m/98901af.jpg?rlkey=uki34qwiu6w0ungd75ichqwtg&amp;dl=0","Click to download Image")</f>
      </c>
      <c r="B3108" s="0">
        <f>HYPERLINK("https://dl.dropboxusercontent.com/scl/fi/5q6uegj3tulxb85qhiyi0/graphic-update22022-youth.jpg?rlkey=htxxffae98d7i1wqjgw4uw1oo&amp;dl=0","Click to download SizeChart")</f>
      </c>
      <c r="C3108" s="0" t="inlineStr">
        <is>
          <t>Harley Youth Rain Jacket</t>
        </is>
      </c>
      <c r="D3108" s="1">
        <v>98901</v>
      </c>
      <c r="E3108" s="0" t="inlineStr">
        <is>
          <t>HARLEY:98901D-YXL</t>
        </is>
      </c>
      <c r="G3108" s="0" t="inlineStr">
        <is>
          <t>YOUTH</t>
        </is>
      </c>
      <c r="H3108" s="0" t="inlineStr">
        <is>
          <t>YXL</t>
        </is>
      </c>
      <c r="I3108" s="0">
        <v>42.99</v>
      </c>
      <c r="J3108" s="0">
        <v>59</v>
      </c>
    </row>
    <row r="3109" spans="1:10" customHeight="0">
      <c r="A3109" s="0">
        <f>HYPERLINK("https://dl.dropboxusercontent.com/scl/fi/57k9ze6m45fkyood7j1c0/danica.jpg?rlkey=mzbzjbk08ivgmwh3adgss4a4c&amp;dl=0","Click to download Image")</f>
      </c>
      <c r="C3109" s="0" t="inlineStr">
        <is>
          <t>Danica Women's Cap</t>
        </is>
      </c>
      <c r="D3109" s="1">
        <v>101296</v>
      </c>
      <c r="E3109" s="0" t="inlineStr">
        <is>
          <t>DANICA:101296</t>
        </is>
      </c>
      <c r="F3109" s="2">
        <v>70010129601</v>
      </c>
      <c r="G3109" s="0" t="inlineStr">
        <is>
          <t>WOMENS</t>
        </is>
      </c>
      <c r="H3109" s="0" t="inlineStr">
        <is>
          <t>WOMENS</t>
        </is>
      </c>
      <c r="I3109" s="0">
        <v>20.99</v>
      </c>
      <c r="J3109" s="0">
        <v>53</v>
      </c>
    </row>
    <row r="3110" spans="1:10" customHeight="0">
      <c r="A3110" s="0">
        <f>HYPERLINK("https://dl.dropboxusercontent.com/scl/fi/gzwfst0jeyg1qco2wx5xc/bethany.jpg?rlkey=hl6ldu54hoq6e36zfjlyw11f8&amp;dl=0","Click to download Image")</f>
      </c>
      <c r="C3110" s="0" t="inlineStr">
        <is>
          <t>Bethany Rhinestone Women's Cap</t>
        </is>
      </c>
      <c r="D3110" s="1">
        <v>101640</v>
      </c>
      <c r="E3110" s="0" t="inlineStr">
        <is>
          <t>BETHANY:101640</t>
        </is>
      </c>
      <c r="F3110" s="2">
        <v>70010164001</v>
      </c>
      <c r="G3110" s="0" t="inlineStr">
        <is>
          <t>WOMENS</t>
        </is>
      </c>
      <c r="H3110" s="0" t="inlineStr">
        <is>
          <t>WOMENS</t>
        </is>
      </c>
      <c r="I3110" s="0">
        <v>21.99</v>
      </c>
      <c r="J3110" s="0">
        <v>142</v>
      </c>
    </row>
    <row r="3111" spans="1:10" customHeight="0">
      <c r="A3111" s="0">
        <f>HYPERLINK("https://dl.dropboxusercontent.com/scl/fi/n6ijiic6lzbt0ijlzwbi7/joelle.jpg?rlkey=3w3aouzpbx16yyvom5yqw7s1t&amp;dl=0","Click to download Image")</f>
      </c>
      <c r="B3111" s="0">
        <f>HYPERLINK("https://dl.dropboxusercontent.com/scl/fi/171g1743iyrcc5kr1vwu0/ladies-b.jpg?rlkey=y0ua86bnatq8qrlm38c71kxxz&amp;dl=0","Click to download SizeChart")</f>
      </c>
      <c r="C3111" s="0" t="inlineStr">
        <is>
          <t>Joelle Full Zip Women's Hoodie</t>
        </is>
      </c>
      <c r="D3111" s="1">
        <v>99256</v>
      </c>
      <c r="E3111" s="0" t="inlineStr">
        <is>
          <t>JOELLE:99256A-S</t>
        </is>
      </c>
      <c r="F3111" s="2">
        <v>80009925601</v>
      </c>
      <c r="G3111" s="0" t="inlineStr">
        <is>
          <t>WOMENS</t>
        </is>
      </c>
      <c r="H3111" s="0" t="inlineStr">
        <is>
          <t>S</t>
        </is>
      </c>
      <c r="I3111" s="0">
        <v>44.99</v>
      </c>
      <c r="J3111" s="0">
        <v>40</v>
      </c>
    </row>
    <row r="3112" spans="1:10" customHeight="0">
      <c r="A3112" s="0">
        <f>HYPERLINK("https://dl.dropboxusercontent.com/scl/fi/n6ijiic6lzbt0ijlzwbi7/joelle.jpg?rlkey=3w3aouzpbx16yyvom5yqw7s1t&amp;dl=0","Click to download Image")</f>
      </c>
      <c r="B3112" s="0">
        <f>HYPERLINK("https://dl.dropboxusercontent.com/scl/fi/171g1743iyrcc5kr1vwu0/ladies-b.jpg?rlkey=y0ua86bnatq8qrlm38c71kxxz&amp;dl=0","Click to download SizeChart")</f>
      </c>
      <c r="C3112" s="0" t="inlineStr">
        <is>
          <t>Joelle Full Zip Women's Hoodie</t>
        </is>
      </c>
      <c r="D3112" s="1">
        <v>99256</v>
      </c>
      <c r="E3112" s="0" t="inlineStr">
        <is>
          <t>JOELLE:99256B-M</t>
        </is>
      </c>
      <c r="F3112" s="2">
        <v>80009925602</v>
      </c>
      <c r="G3112" s="0" t="inlineStr">
        <is>
          <t>WOMENS</t>
        </is>
      </c>
      <c r="H3112" s="0" t="inlineStr">
        <is>
          <t>M</t>
        </is>
      </c>
      <c r="I3112" s="0">
        <v>44.99</v>
      </c>
      <c r="J3112" s="0">
        <v>23</v>
      </c>
    </row>
    <row r="3113" spans="1:10" customHeight="0">
      <c r="A3113" s="0">
        <f>HYPERLINK("https://dl.dropboxusercontent.com/scl/fi/n6ijiic6lzbt0ijlzwbi7/joelle.jpg?rlkey=3w3aouzpbx16yyvom5yqw7s1t&amp;dl=0","Click to download Image")</f>
      </c>
      <c r="B3113" s="0">
        <f>HYPERLINK("https://dl.dropboxusercontent.com/scl/fi/171g1743iyrcc5kr1vwu0/ladies-b.jpg?rlkey=y0ua86bnatq8qrlm38c71kxxz&amp;dl=0","Click to download SizeChart")</f>
      </c>
      <c r="C3113" s="0" t="inlineStr">
        <is>
          <t>Joelle Full Zip Women's Hoodie</t>
        </is>
      </c>
      <c r="D3113" s="1">
        <v>99256</v>
      </c>
      <c r="E3113" s="0" t="inlineStr">
        <is>
          <t>JOELLE:99256C-L</t>
        </is>
      </c>
      <c r="F3113" s="2">
        <v>80009925603</v>
      </c>
      <c r="G3113" s="0" t="inlineStr">
        <is>
          <t>WOMENS</t>
        </is>
      </c>
      <c r="H3113" s="0" t="inlineStr">
        <is>
          <t>L</t>
        </is>
      </c>
      <c r="I3113" s="0">
        <v>44.99</v>
      </c>
      <c r="J3113" s="0">
        <v>8</v>
      </c>
    </row>
    <row r="3114" spans="1:10" customHeight="0">
      <c r="A3114" s="0">
        <f>HYPERLINK("https://dl.dropboxusercontent.com/scl/fi/n6ijiic6lzbt0ijlzwbi7/joelle.jpg?rlkey=3w3aouzpbx16yyvom5yqw7s1t&amp;dl=0","Click to download Image")</f>
      </c>
      <c r="B3114" s="0">
        <f>HYPERLINK("https://dl.dropboxusercontent.com/scl/fi/171g1743iyrcc5kr1vwu0/ladies-b.jpg?rlkey=y0ua86bnatq8qrlm38c71kxxz&amp;dl=0","Click to download SizeChart")</f>
      </c>
      <c r="C3114" s="0" t="inlineStr">
        <is>
          <t>Joelle Full Zip Women's Hoodie</t>
        </is>
      </c>
      <c r="D3114" s="1">
        <v>99256</v>
      </c>
      <c r="E3114" s="0" t="inlineStr">
        <is>
          <t>JOELLE:99256D-XL</t>
        </is>
      </c>
      <c r="F3114" s="2">
        <v>80009925604</v>
      </c>
      <c r="G3114" s="0" t="inlineStr">
        <is>
          <t>WOMENS</t>
        </is>
      </c>
      <c r="H3114" s="0" t="inlineStr">
        <is>
          <t>XL</t>
        </is>
      </c>
      <c r="I3114" s="0">
        <v>44.99</v>
      </c>
      <c r="J3114" s="0">
        <v>31</v>
      </c>
    </row>
    <row r="3115" spans="1:10" customHeight="0">
      <c r="A3115" s="0">
        <f>HYPERLINK("https://dl.dropboxusercontent.com/scl/fi/n6ijiic6lzbt0ijlzwbi7/joelle.jpg?rlkey=3w3aouzpbx16yyvom5yqw7s1t&amp;dl=0","Click to download Image")</f>
      </c>
      <c r="B3115" s="0">
        <f>HYPERLINK("https://dl.dropboxusercontent.com/scl/fi/171g1743iyrcc5kr1vwu0/ladies-b.jpg?rlkey=y0ua86bnatq8qrlm38c71kxxz&amp;dl=0","Click to download SizeChart")</f>
      </c>
      <c r="C3115" s="0" t="inlineStr">
        <is>
          <t>Joelle Full Zip Women's Hoodie</t>
        </is>
      </c>
      <c r="D3115" s="1">
        <v>99256</v>
      </c>
      <c r="E3115" s="0" t="inlineStr">
        <is>
          <t>JOELLE:99256E-2XL</t>
        </is>
      </c>
      <c r="F3115" s="2">
        <v>80009925605</v>
      </c>
      <c r="G3115" s="0" t="inlineStr">
        <is>
          <t>WOMENS</t>
        </is>
      </c>
      <c r="H3115" s="0" t="inlineStr">
        <is>
          <t>2XL</t>
        </is>
      </c>
      <c r="I3115" s="0">
        <v>46.99</v>
      </c>
      <c r="J3115" s="0">
        <v>49</v>
      </c>
    </row>
    <row r="3116" spans="1:10" customHeight="0">
      <c r="A3116" s="0">
        <f>HYPERLINK("https://dl.dropboxusercontent.com/scl/fi/n6ijiic6lzbt0ijlzwbi7/joelle.jpg?rlkey=3w3aouzpbx16yyvom5yqw7s1t&amp;dl=0","Click to download Image")</f>
      </c>
      <c r="B3116" s="0">
        <f>HYPERLINK("https://dl.dropboxusercontent.com/scl/fi/171g1743iyrcc5kr1vwu0/ladies-b.jpg?rlkey=y0ua86bnatq8qrlm38c71kxxz&amp;dl=0","Click to download SizeChart")</f>
      </c>
      <c r="C3116" s="0" t="inlineStr">
        <is>
          <t>Joelle Full Zip Women's Hoodie</t>
        </is>
      </c>
      <c r="D3116" s="1">
        <v>99256</v>
      </c>
      <c r="E3116" s="0" t="inlineStr">
        <is>
          <t>JOELLE:99256F-3XL</t>
        </is>
      </c>
      <c r="F3116" s="2">
        <v>80009925606</v>
      </c>
      <c r="G3116" s="0" t="inlineStr">
        <is>
          <t>WOMENS</t>
        </is>
      </c>
      <c r="H3116" s="0" t="inlineStr">
        <is>
          <t>3XL</t>
        </is>
      </c>
      <c r="I3116" s="0">
        <v>46.99</v>
      </c>
      <c r="J3116" s="0">
        <v>1</v>
      </c>
    </row>
    <row r="3117" spans="1:10" customHeight="0">
      <c r="A3117" s="0">
        <f>HYPERLINK("https://dl.dropboxusercontent.com/scl/fi/9qyxzusq2irvmqwu53ke3/pamela.jpg?rlkey=4tsrq25i1j7oh4xkh9gfte9kc&amp;dl=0","Click to download Image")</f>
      </c>
      <c r="C3117" s="0" t="inlineStr">
        <is>
          <t>Pamela Leather Duffle Bag</t>
        </is>
      </c>
      <c r="D3117" s="1">
        <v>94331</v>
      </c>
      <c r="E3117" s="0" t="inlineStr">
        <is>
          <t>PAMELA:94331</t>
        </is>
      </c>
      <c r="H3117" s="0" t="inlineStr">
        <is>
          <t>OS</t>
        </is>
      </c>
      <c r="I3117" s="0">
        <v>49.99</v>
      </c>
      <c r="J3117" s="0">
        <v>457</v>
      </c>
    </row>
    <row r="3118" spans="1:10" customHeight="0">
      <c r="A3118" s="0">
        <f>HYPERLINK("https://dl.dropboxusercontent.com/scl/fi/x9rb7ywiyocfocgra6pvb/98901af.jpg?rlkey=36g2laexy90x7bmp6skqpm2sr&amp;dl=0","Click to download Image")</f>
      </c>
      <c r="B3118" s="0">
        <f>HYPERLINK("https://dl.dropboxusercontent.com/scl/fi/0zde25nc7l1b2dg74h39j/graphic-update22022-toddler.jpg?rlkey=4qikg99wpxjdzfl9f6xm2hy96&amp;dl=0","Click to download SizeChart")</f>
      </c>
      <c r="C3118" s="0" t="inlineStr">
        <is>
          <t>Harley Toddler Rain Jacket</t>
        </is>
      </c>
      <c r="D3118" s="1">
        <v>101915</v>
      </c>
      <c r="E3118" s="0" t="inlineStr">
        <is>
          <t>HARLEY:101915A-2T</t>
        </is>
      </c>
      <c r="G3118" s="0" t="inlineStr">
        <is>
          <t>TODDLER</t>
        </is>
      </c>
      <c r="H3118" s="0" t="inlineStr">
        <is>
          <t>2T</t>
        </is>
      </c>
      <c r="I3118" s="0">
        <v>42.99</v>
      </c>
      <c r="J3118" s="0">
        <v>24</v>
      </c>
    </row>
    <row r="3119" spans="1:10" customHeight="0">
      <c r="A3119" s="0">
        <f>HYPERLINK("https://dl.dropboxusercontent.com/scl/fi/x9rb7ywiyocfocgra6pvb/98901af.jpg?rlkey=36g2laexy90x7bmp6skqpm2sr&amp;dl=0","Click to download Image")</f>
      </c>
      <c r="B3119" s="0">
        <f>HYPERLINK("https://dl.dropboxusercontent.com/scl/fi/0zde25nc7l1b2dg74h39j/graphic-update22022-toddler.jpg?rlkey=4qikg99wpxjdzfl9f6xm2hy96&amp;dl=0","Click to download SizeChart")</f>
      </c>
      <c r="C3119" s="0" t="inlineStr">
        <is>
          <t>Harley Toddler Rain Jacket</t>
        </is>
      </c>
      <c r="D3119" s="1">
        <v>101915</v>
      </c>
      <c r="E3119" s="0" t="inlineStr">
        <is>
          <t>HARLEY:101915B-3T</t>
        </is>
      </c>
      <c r="G3119" s="0" t="inlineStr">
        <is>
          <t>TODDLER</t>
        </is>
      </c>
      <c r="H3119" s="0" t="inlineStr">
        <is>
          <t>3T</t>
        </is>
      </c>
      <c r="I3119" s="0">
        <v>42.99</v>
      </c>
      <c r="J3119" s="0">
        <v>22</v>
      </c>
    </row>
    <row r="3120" spans="1:10" customHeight="0">
      <c r="A3120" s="0">
        <f>HYPERLINK("https://dl.dropboxusercontent.com/scl/fi/x9rb7ywiyocfocgra6pvb/98901af.jpg?rlkey=36g2laexy90x7bmp6skqpm2sr&amp;dl=0","Click to download Image")</f>
      </c>
      <c r="B3120" s="0">
        <f>HYPERLINK("https://dl.dropboxusercontent.com/scl/fi/0zde25nc7l1b2dg74h39j/graphic-update22022-toddler.jpg?rlkey=4qikg99wpxjdzfl9f6xm2hy96&amp;dl=0","Click to download SizeChart")</f>
      </c>
      <c r="C3120" s="0" t="inlineStr">
        <is>
          <t>Harley Toddler Rain Jacket</t>
        </is>
      </c>
      <c r="D3120" s="1">
        <v>101915</v>
      </c>
      <c r="E3120" s="0" t="inlineStr">
        <is>
          <t>HARLEY:101915C-4T</t>
        </is>
      </c>
      <c r="G3120" s="0" t="inlineStr">
        <is>
          <t>TODDLER</t>
        </is>
      </c>
      <c r="H3120" s="0" t="inlineStr">
        <is>
          <t>4T</t>
        </is>
      </c>
      <c r="I3120" s="0">
        <v>42.99</v>
      </c>
      <c r="J3120" s="0">
        <v>23</v>
      </c>
    </row>
    <row r="3121" spans="1:10" customHeight="0">
      <c r="A3121" s="0">
        <f>HYPERLINK("https://dl.dropboxusercontent.com/scl/fi/x9rb7ywiyocfocgra6pvb/98901af.jpg?rlkey=36g2laexy90x7bmp6skqpm2sr&amp;dl=0","Click to download Image")</f>
      </c>
      <c r="B3121" s="0">
        <f>HYPERLINK("https://dl.dropboxusercontent.com/scl/fi/0zde25nc7l1b2dg74h39j/graphic-update22022-toddler.jpg?rlkey=4qikg99wpxjdzfl9f6xm2hy96&amp;dl=0","Click to download SizeChart")</f>
      </c>
      <c r="C3121" s="0" t="inlineStr">
        <is>
          <t>Harley Toddler Rain Jacket</t>
        </is>
      </c>
      <c r="D3121" s="1">
        <v>101915</v>
      </c>
      <c r="E3121" s="0" t="inlineStr">
        <is>
          <t>HARLEY:101915D-5T</t>
        </is>
      </c>
      <c r="G3121" s="0" t="inlineStr">
        <is>
          <t>TODDLER</t>
        </is>
      </c>
      <c r="H3121" s="0" t="inlineStr">
        <is>
          <t>5T</t>
        </is>
      </c>
      <c r="I3121" s="0">
        <v>42.99</v>
      </c>
      <c r="J3121" s="0">
        <v>26</v>
      </c>
    </row>
    <row r="3122" spans="1:10" customHeight="0">
      <c r="A3122" s="0">
        <f>HYPERLINK("https://dl.dropboxusercontent.com/scl/fi/7r4ase8dacfhf10r3btf4/oscar.jpg?rlkey=6hl7lh66555pa3af1x8t5nnl6&amp;dl=0","Click to download Image")</f>
      </c>
      <c r="B3122" s="0">
        <f>HYPERLINK("https://dl.dropboxusercontent.com/scl/fi/wlt6qtk97fsw0k4jvnjif/size-chartsmens-standard-relaxed-fit-tshirt.jpg?rlkey=e8mwcz6qe6wxy7pmwfxuqvkeg&amp;dl=0","Click to download SizeChart")</f>
      </c>
      <c r="C3122" s="0" t="inlineStr">
        <is>
          <t>Oscar Men's Pique Polo</t>
        </is>
      </c>
      <c r="D3122" s="1">
        <v>101348</v>
      </c>
      <c r="E3122" s="0" t="inlineStr">
        <is>
          <t>OSCAR:101348A- S</t>
        </is>
      </c>
      <c r="G3122" s="0" t="inlineStr">
        <is>
          <t>MENS</t>
        </is>
      </c>
      <c r="H3122" s="0" t="inlineStr">
        <is>
          <t>S</t>
        </is>
      </c>
      <c r="I3122" s="0">
        <v>49.99</v>
      </c>
      <c r="J3122" s="0">
        <v>66</v>
      </c>
    </row>
    <row r="3123" spans="1:10" customHeight="0">
      <c r="A3123" s="0">
        <f>HYPERLINK("https://dl.dropboxusercontent.com/scl/fi/7r4ase8dacfhf10r3btf4/oscar.jpg?rlkey=6hl7lh66555pa3af1x8t5nnl6&amp;dl=0","Click to download Image")</f>
      </c>
      <c r="B3123" s="0">
        <f>HYPERLINK("https://dl.dropboxusercontent.com/scl/fi/wlt6qtk97fsw0k4jvnjif/size-chartsmens-standard-relaxed-fit-tshirt.jpg?rlkey=e8mwcz6qe6wxy7pmwfxuqvkeg&amp;dl=0","Click to download SizeChart")</f>
      </c>
      <c r="C3123" s="0" t="inlineStr">
        <is>
          <t>Oscar Men's Pique Polo</t>
        </is>
      </c>
      <c r="D3123" s="1">
        <v>101348</v>
      </c>
      <c r="E3123" s="0" t="inlineStr">
        <is>
          <t>OSCAR:101348B-M</t>
        </is>
      </c>
      <c r="G3123" s="0" t="inlineStr">
        <is>
          <t>MENS</t>
        </is>
      </c>
      <c r="H3123" s="0" t="inlineStr">
        <is>
          <t>M</t>
        </is>
      </c>
      <c r="I3123" s="0">
        <v>49.99</v>
      </c>
      <c r="J3123" s="0">
        <v>84</v>
      </c>
    </row>
    <row r="3124" spans="1:10" customHeight="0">
      <c r="A3124" s="0">
        <f>HYPERLINK("https://dl.dropboxusercontent.com/scl/fi/7r4ase8dacfhf10r3btf4/oscar.jpg?rlkey=6hl7lh66555pa3af1x8t5nnl6&amp;dl=0","Click to download Image")</f>
      </c>
      <c r="B3124" s="0">
        <f>HYPERLINK("https://dl.dropboxusercontent.com/scl/fi/wlt6qtk97fsw0k4jvnjif/size-chartsmens-standard-relaxed-fit-tshirt.jpg?rlkey=e8mwcz6qe6wxy7pmwfxuqvkeg&amp;dl=0","Click to download SizeChart")</f>
      </c>
      <c r="C3124" s="0" t="inlineStr">
        <is>
          <t>Oscar Men's Pique Polo</t>
        </is>
      </c>
      <c r="D3124" s="1">
        <v>101348</v>
      </c>
      <c r="E3124" s="0" t="inlineStr">
        <is>
          <t>OSCAR:101348C-L</t>
        </is>
      </c>
      <c r="G3124" s="0" t="inlineStr">
        <is>
          <t>MENS</t>
        </is>
      </c>
      <c r="H3124" s="0" t="inlineStr">
        <is>
          <t>L</t>
        </is>
      </c>
      <c r="I3124" s="0">
        <v>49.99</v>
      </c>
      <c r="J3124" s="0">
        <v>84</v>
      </c>
    </row>
    <row r="3125" spans="1:10" customHeight="0">
      <c r="A3125" s="0">
        <f>HYPERLINK("https://dl.dropboxusercontent.com/scl/fi/7r4ase8dacfhf10r3btf4/oscar.jpg?rlkey=6hl7lh66555pa3af1x8t5nnl6&amp;dl=0","Click to download Image")</f>
      </c>
      <c r="B3125" s="0">
        <f>HYPERLINK("https://dl.dropboxusercontent.com/scl/fi/wlt6qtk97fsw0k4jvnjif/size-chartsmens-standard-relaxed-fit-tshirt.jpg?rlkey=e8mwcz6qe6wxy7pmwfxuqvkeg&amp;dl=0","Click to download SizeChart")</f>
      </c>
      <c r="C3125" s="0" t="inlineStr">
        <is>
          <t>Oscar Men's Pique Polo</t>
        </is>
      </c>
      <c r="D3125" s="1">
        <v>101348</v>
      </c>
      <c r="E3125" s="0" t="inlineStr">
        <is>
          <t>OSCAR:101348D-XL</t>
        </is>
      </c>
      <c r="G3125" s="0" t="inlineStr">
        <is>
          <t>MENS</t>
        </is>
      </c>
      <c r="H3125" s="0" t="inlineStr">
        <is>
          <t>XL</t>
        </is>
      </c>
      <c r="I3125" s="0">
        <v>49.99</v>
      </c>
      <c r="J3125" s="0">
        <v>83</v>
      </c>
    </row>
    <row r="3126" spans="1:10" customHeight="0">
      <c r="A3126" s="0">
        <f>HYPERLINK("https://dl.dropboxusercontent.com/scl/fi/7r4ase8dacfhf10r3btf4/oscar.jpg?rlkey=6hl7lh66555pa3af1x8t5nnl6&amp;dl=0","Click to download Image")</f>
      </c>
      <c r="B3126" s="0">
        <f>HYPERLINK("https://dl.dropboxusercontent.com/scl/fi/wlt6qtk97fsw0k4jvnjif/size-chartsmens-standard-relaxed-fit-tshirt.jpg?rlkey=e8mwcz6qe6wxy7pmwfxuqvkeg&amp;dl=0","Click to download SizeChart")</f>
      </c>
      <c r="C3126" s="0" t="inlineStr">
        <is>
          <t>Oscar Men's Pique Polo</t>
        </is>
      </c>
      <c r="D3126" s="1">
        <v>101348</v>
      </c>
      <c r="E3126" s="0" t="inlineStr">
        <is>
          <t>OSCAR:101348E-2XL</t>
        </is>
      </c>
      <c r="G3126" s="0" t="inlineStr">
        <is>
          <t>MENS</t>
        </is>
      </c>
      <c r="H3126" s="0" t="inlineStr">
        <is>
          <t>2XL</t>
        </is>
      </c>
      <c r="I3126" s="0">
        <v>51.99</v>
      </c>
      <c r="J3126" s="0">
        <v>70</v>
      </c>
    </row>
    <row r="3127" spans="1:10" customHeight="0">
      <c r="A3127" s="0">
        <f>HYPERLINK("https://dl.dropboxusercontent.com/scl/fi/7r4ase8dacfhf10r3btf4/oscar.jpg?rlkey=6hl7lh66555pa3af1x8t5nnl6&amp;dl=0","Click to download Image")</f>
      </c>
      <c r="B3127" s="0">
        <f>HYPERLINK("https://dl.dropboxusercontent.com/scl/fi/wlt6qtk97fsw0k4jvnjif/size-chartsmens-standard-relaxed-fit-tshirt.jpg?rlkey=e8mwcz6qe6wxy7pmwfxuqvkeg&amp;dl=0","Click to download SizeChart")</f>
      </c>
      <c r="C3127" s="0" t="inlineStr">
        <is>
          <t>Oscar Men's Pique Polo</t>
        </is>
      </c>
      <c r="D3127" s="1">
        <v>101348</v>
      </c>
      <c r="E3127" s="0" t="inlineStr">
        <is>
          <t>OSCAR:101348F-3XL</t>
        </is>
      </c>
      <c r="G3127" s="0" t="inlineStr">
        <is>
          <t>MENS</t>
        </is>
      </c>
      <c r="H3127" s="0" t="inlineStr">
        <is>
          <t>3XL</t>
        </is>
      </c>
      <c r="I3127" s="0">
        <v>51.99</v>
      </c>
      <c r="J3127" s="0">
        <v>33</v>
      </c>
    </row>
    <row r="3128" spans="1:10" customHeight="0">
      <c r="A3128" s="0">
        <f>HYPERLINK("https://dl.dropboxusercontent.com/scl/fi/3w5v0jgabslsdgamdmbal/98808-af.jpg?rlkey=6jkpk6b1eobv1p196il185x9a&amp;dl=0","Click to download Image")</f>
      </c>
      <c r="C3128" s="0" t="inlineStr">
        <is>
          <t>Crissie Half Zip Women's Hoodie</t>
        </is>
      </c>
      <c r="D3128" s="1">
        <v>98808</v>
      </c>
      <c r="E3128" s="0" t="inlineStr">
        <is>
          <t>CRISSIE:98808A-S</t>
        </is>
      </c>
      <c r="G3128" s="0" t="inlineStr">
        <is>
          <t>WOMENS</t>
        </is>
      </c>
      <c r="H3128" s="0" t="inlineStr">
        <is>
          <t>S</t>
        </is>
      </c>
      <c r="I3128" s="0">
        <v>49.99</v>
      </c>
      <c r="J3128" s="0">
        <v>56</v>
      </c>
    </row>
    <row r="3129" spans="1:10" customHeight="0">
      <c r="A3129" s="0">
        <f>HYPERLINK("https://dl.dropboxusercontent.com/scl/fi/3w5v0jgabslsdgamdmbal/98808-af.jpg?rlkey=6jkpk6b1eobv1p196il185x9a&amp;dl=0","Click to download Image")</f>
      </c>
      <c r="C3129" s="0" t="inlineStr">
        <is>
          <t>Crissie Half Zip Women's Hoodie</t>
        </is>
      </c>
      <c r="D3129" s="1">
        <v>98808</v>
      </c>
      <c r="E3129" s="0" t="inlineStr">
        <is>
          <t>CRISSIE:98808B-M</t>
        </is>
      </c>
      <c r="G3129" s="0" t="inlineStr">
        <is>
          <t>WOMENS</t>
        </is>
      </c>
      <c r="H3129" s="0" t="inlineStr">
        <is>
          <t>M</t>
        </is>
      </c>
      <c r="I3129" s="0">
        <v>49.99</v>
      </c>
      <c r="J3129" s="0">
        <v>56</v>
      </c>
    </row>
    <row r="3130" spans="1:10" customHeight="0">
      <c r="A3130" s="0">
        <f>HYPERLINK("https://dl.dropboxusercontent.com/scl/fi/3w5v0jgabslsdgamdmbal/98808-af.jpg?rlkey=6jkpk6b1eobv1p196il185x9a&amp;dl=0","Click to download Image")</f>
      </c>
      <c r="C3130" s="0" t="inlineStr">
        <is>
          <t>Crissie Half Zip Women's Hoodie</t>
        </is>
      </c>
      <c r="D3130" s="1">
        <v>98808</v>
      </c>
      <c r="E3130" s="0" t="inlineStr">
        <is>
          <t>CRISSIE:98808C-L</t>
        </is>
      </c>
      <c r="G3130" s="0" t="inlineStr">
        <is>
          <t>WOMENS</t>
        </is>
      </c>
      <c r="H3130" s="0" t="inlineStr">
        <is>
          <t>L</t>
        </is>
      </c>
      <c r="I3130" s="0">
        <v>49.99</v>
      </c>
      <c r="J3130" s="0">
        <v>52</v>
      </c>
    </row>
    <row r="3131" spans="1:10" customHeight="0">
      <c r="A3131" s="0">
        <f>HYPERLINK("https://dl.dropboxusercontent.com/scl/fi/3w5v0jgabslsdgamdmbal/98808-af.jpg?rlkey=6jkpk6b1eobv1p196il185x9a&amp;dl=0","Click to download Image")</f>
      </c>
      <c r="C3131" s="0" t="inlineStr">
        <is>
          <t>Crissie Half Zip Women's Hoodie</t>
        </is>
      </c>
      <c r="D3131" s="1">
        <v>98808</v>
      </c>
      <c r="E3131" s="0" t="inlineStr">
        <is>
          <t>CRISSIE:98808D-XL</t>
        </is>
      </c>
      <c r="G3131" s="0" t="inlineStr">
        <is>
          <t>WOMENS</t>
        </is>
      </c>
      <c r="H3131" s="0" t="inlineStr">
        <is>
          <t>XL</t>
        </is>
      </c>
      <c r="I3131" s="0">
        <v>49.99</v>
      </c>
      <c r="J3131" s="0">
        <v>60</v>
      </c>
    </row>
    <row r="3132" spans="1:10" customHeight="0">
      <c r="A3132" s="0">
        <f>HYPERLINK("https://dl.dropboxusercontent.com/scl/fi/3w5v0jgabslsdgamdmbal/98808-af.jpg?rlkey=6jkpk6b1eobv1p196il185x9a&amp;dl=0","Click to download Image")</f>
      </c>
      <c r="C3132" s="0" t="inlineStr">
        <is>
          <t>Crissie Half Zip Women's Hoodie</t>
        </is>
      </c>
      <c r="D3132" s="1">
        <v>98808</v>
      </c>
      <c r="E3132" s="0" t="inlineStr">
        <is>
          <t>CRISSIE:98808E-2XL</t>
        </is>
      </c>
      <c r="G3132" s="0" t="inlineStr">
        <is>
          <t>WOMENS</t>
        </is>
      </c>
      <c r="H3132" s="0" t="inlineStr">
        <is>
          <t>2XL</t>
        </is>
      </c>
      <c r="I3132" s="0">
        <v>51.99</v>
      </c>
      <c r="J3132" s="0">
        <v>46</v>
      </c>
    </row>
    <row r="3133" spans="1:10" customHeight="0">
      <c r="A3133" s="0">
        <f>HYPERLINK("https://dl.dropboxusercontent.com/scl/fi/3w5v0jgabslsdgamdmbal/98808-af.jpg?rlkey=6jkpk6b1eobv1p196il185x9a&amp;dl=0","Click to download Image")</f>
      </c>
      <c r="C3133" s="0" t="inlineStr">
        <is>
          <t>Crissie Half Zip Women's Hoodie</t>
        </is>
      </c>
      <c r="D3133" s="1">
        <v>98808</v>
      </c>
      <c r="E3133" s="0" t="inlineStr">
        <is>
          <t>CRISSIE:98808F-3XL</t>
        </is>
      </c>
      <c r="G3133" s="0" t="inlineStr">
        <is>
          <t>WOMENS</t>
        </is>
      </c>
      <c r="H3133" s="0" t="inlineStr">
        <is>
          <t>3XL</t>
        </is>
      </c>
      <c r="I3133" s="0">
        <v>51.99</v>
      </c>
      <c r="J3133" s="0">
        <v>0</v>
      </c>
    </row>
    <row r="3134" spans="1:10" customHeight="0">
      <c r="A3134" s="0">
        <f>HYPERLINK("https://dl.dropboxusercontent.com/scl/fi/4ha9ii8x5z08brp7wh3q5/olivia.jpg?rlkey=nqynwnjhb1onszpxcny7w2ffh&amp;dl=0","Click to download Image")</f>
      </c>
      <c r="B3134" s="0">
        <f>HYPERLINK("https://dl.dropboxusercontent.com/scl/fi/473gzfj69ywy3r868blyx/size-chartladies-k.jpg?rlkey=aldy6mhpusbbkwxbjr0272b56&amp;dl=0","Click to download SizeChart")</f>
      </c>
      <c r="C3134" s="0" t="inlineStr">
        <is>
          <t>Olivia Women's Athletic Shorts</t>
        </is>
      </c>
      <c r="D3134" s="1">
        <v>96918</v>
      </c>
      <c r="E3134" s="0" t="inlineStr">
        <is>
          <t>OLIVIA:96918A-S</t>
        </is>
      </c>
      <c r="G3134" s="0" t="inlineStr">
        <is>
          <t>WOMENS</t>
        </is>
      </c>
      <c r="H3134" s="0" t="inlineStr">
        <is>
          <t>S</t>
        </is>
      </c>
      <c r="I3134" s="0">
        <v>32.99</v>
      </c>
      <c r="J3134" s="0">
        <v>29</v>
      </c>
    </row>
    <row r="3135" spans="1:10" customHeight="0">
      <c r="A3135" s="0">
        <f>HYPERLINK("https://dl.dropboxusercontent.com/scl/fi/4ha9ii8x5z08brp7wh3q5/olivia.jpg?rlkey=nqynwnjhb1onszpxcny7w2ffh&amp;dl=0","Click to download Image")</f>
      </c>
      <c r="B3135" s="0">
        <f>HYPERLINK("https://dl.dropboxusercontent.com/scl/fi/473gzfj69ywy3r868blyx/size-chartladies-k.jpg?rlkey=aldy6mhpusbbkwxbjr0272b56&amp;dl=0","Click to download SizeChart")</f>
      </c>
      <c r="C3135" s="0" t="inlineStr">
        <is>
          <t>Olivia Women's Athletic Shorts</t>
        </is>
      </c>
      <c r="D3135" s="1">
        <v>96918</v>
      </c>
      <c r="E3135" s="0" t="inlineStr">
        <is>
          <t>OLIVIA:96918B-M</t>
        </is>
      </c>
      <c r="G3135" s="0" t="inlineStr">
        <is>
          <t>WOMENS</t>
        </is>
      </c>
      <c r="H3135" s="0" t="inlineStr">
        <is>
          <t>M</t>
        </is>
      </c>
      <c r="I3135" s="0">
        <v>32.99</v>
      </c>
      <c r="J3135" s="0">
        <v>44</v>
      </c>
    </row>
    <row r="3136" spans="1:10" customHeight="0">
      <c r="A3136" s="0">
        <f>HYPERLINK("https://dl.dropboxusercontent.com/scl/fi/4ha9ii8x5z08brp7wh3q5/olivia.jpg?rlkey=nqynwnjhb1onszpxcny7w2ffh&amp;dl=0","Click to download Image")</f>
      </c>
      <c r="B3136" s="0">
        <f>HYPERLINK("https://dl.dropboxusercontent.com/scl/fi/473gzfj69ywy3r868blyx/size-chartladies-k.jpg?rlkey=aldy6mhpusbbkwxbjr0272b56&amp;dl=0","Click to download SizeChart")</f>
      </c>
      <c r="C3136" s="0" t="inlineStr">
        <is>
          <t>Olivia Women's Athletic Shorts</t>
        </is>
      </c>
      <c r="D3136" s="1">
        <v>96918</v>
      </c>
      <c r="E3136" s="0" t="inlineStr">
        <is>
          <t>OLIVIA:96918C-L</t>
        </is>
      </c>
      <c r="G3136" s="0" t="inlineStr">
        <is>
          <t>WOMENS</t>
        </is>
      </c>
      <c r="H3136" s="0" t="inlineStr">
        <is>
          <t>L</t>
        </is>
      </c>
      <c r="I3136" s="0">
        <v>32.99</v>
      </c>
      <c r="J3136" s="0">
        <v>66</v>
      </c>
    </row>
    <row r="3137" spans="1:10" customHeight="0">
      <c r="A3137" s="0">
        <f>HYPERLINK("https://dl.dropboxusercontent.com/scl/fi/4ha9ii8x5z08brp7wh3q5/olivia.jpg?rlkey=nqynwnjhb1onszpxcny7w2ffh&amp;dl=0","Click to download Image")</f>
      </c>
      <c r="B3137" s="0">
        <f>HYPERLINK("https://dl.dropboxusercontent.com/scl/fi/473gzfj69ywy3r868blyx/size-chartladies-k.jpg?rlkey=aldy6mhpusbbkwxbjr0272b56&amp;dl=0","Click to download SizeChart")</f>
      </c>
      <c r="C3137" s="0" t="inlineStr">
        <is>
          <t>Olivia Women's Athletic Shorts</t>
        </is>
      </c>
      <c r="D3137" s="1">
        <v>96918</v>
      </c>
      <c r="E3137" s="0" t="inlineStr">
        <is>
          <t>OLIVIA:96918D-XL</t>
        </is>
      </c>
      <c r="G3137" s="0" t="inlineStr">
        <is>
          <t>WOMENS</t>
        </is>
      </c>
      <c r="H3137" s="0" t="inlineStr">
        <is>
          <t>XL</t>
        </is>
      </c>
      <c r="I3137" s="0">
        <v>32.99</v>
      </c>
      <c r="J3137" s="0">
        <v>59</v>
      </c>
    </row>
    <row r="3138" spans="1:10" customHeight="0">
      <c r="A3138" s="0">
        <f>HYPERLINK("https://dl.dropboxusercontent.com/scl/fi/4ha9ii8x5z08brp7wh3q5/olivia.jpg?rlkey=nqynwnjhb1onszpxcny7w2ffh&amp;dl=0","Click to download Image")</f>
      </c>
      <c r="B3138" s="0">
        <f>HYPERLINK("https://dl.dropboxusercontent.com/scl/fi/473gzfj69ywy3r868blyx/size-chartladies-k.jpg?rlkey=aldy6mhpusbbkwxbjr0272b56&amp;dl=0","Click to download SizeChart")</f>
      </c>
      <c r="C3138" s="0" t="inlineStr">
        <is>
          <t>Olivia Women's Athletic Shorts</t>
        </is>
      </c>
      <c r="D3138" s="1">
        <v>96918</v>
      </c>
      <c r="E3138" s="0" t="inlineStr">
        <is>
          <t>OLIVIA:96918E-2XL</t>
        </is>
      </c>
      <c r="G3138" s="0" t="inlineStr">
        <is>
          <t>WOMENS</t>
        </is>
      </c>
      <c r="H3138" s="0" t="inlineStr">
        <is>
          <t>2XL</t>
        </is>
      </c>
      <c r="I3138" s="0">
        <v>34.99</v>
      </c>
      <c r="J3138" s="0">
        <v>39</v>
      </c>
    </row>
    <row r="3139" spans="1:10" customHeight="0">
      <c r="A3139" s="0">
        <f>HYPERLINK("https://dl.dropboxusercontent.com/scl/fi/cqbezgyfjlmsqp1gzre9r/98807-af.jpg?rlkey=z65vpmfhr8sv9xnuk9cg1h9tz&amp;dl=0","Click to download Image")</f>
      </c>
      <c r="C3139" s="0" t="inlineStr">
        <is>
          <t>Christopher Half Zip Men's Hoodie</t>
        </is>
      </c>
      <c r="D3139" s="1">
        <v>98807</v>
      </c>
      <c r="E3139" s="0" t="inlineStr">
        <is>
          <t>CHRISTOPHER:98807A-S</t>
        </is>
      </c>
      <c r="G3139" s="0" t="inlineStr">
        <is>
          <t>MENS</t>
        </is>
      </c>
      <c r="H3139" s="0" t="inlineStr">
        <is>
          <t>S</t>
        </is>
      </c>
      <c r="I3139" s="0">
        <v>44.99</v>
      </c>
      <c r="J3139" s="0">
        <v>64</v>
      </c>
    </row>
    <row r="3140" spans="1:10" customHeight="0">
      <c r="A3140" s="0">
        <f>HYPERLINK("https://dl.dropboxusercontent.com/scl/fi/cqbezgyfjlmsqp1gzre9r/98807-af.jpg?rlkey=z65vpmfhr8sv9xnuk9cg1h9tz&amp;dl=0","Click to download Image")</f>
      </c>
      <c r="C3140" s="0" t="inlineStr">
        <is>
          <t>Christopher Half Zip Men's Hoodie</t>
        </is>
      </c>
      <c r="D3140" s="1">
        <v>98807</v>
      </c>
      <c r="E3140" s="0" t="inlineStr">
        <is>
          <t>CHRISTOPHER:98807B-M</t>
        </is>
      </c>
      <c r="G3140" s="0" t="inlineStr">
        <is>
          <t>MENS</t>
        </is>
      </c>
      <c r="H3140" s="0" t="inlineStr">
        <is>
          <t>M</t>
        </is>
      </c>
      <c r="I3140" s="0">
        <v>44.99</v>
      </c>
      <c r="J3140" s="0">
        <v>68</v>
      </c>
    </row>
    <row r="3141" spans="1:10" customHeight="0">
      <c r="A3141" s="0">
        <f>HYPERLINK("https://dl.dropboxusercontent.com/scl/fi/cqbezgyfjlmsqp1gzre9r/98807-af.jpg?rlkey=z65vpmfhr8sv9xnuk9cg1h9tz&amp;dl=0","Click to download Image")</f>
      </c>
      <c r="C3141" s="0" t="inlineStr">
        <is>
          <t>Christopher Half Zip Men's Hoodie</t>
        </is>
      </c>
      <c r="D3141" s="1">
        <v>98807</v>
      </c>
      <c r="E3141" s="0" t="inlineStr">
        <is>
          <t>CHRISTOPHER:98807C-L</t>
        </is>
      </c>
      <c r="G3141" s="0" t="inlineStr">
        <is>
          <t>MENS</t>
        </is>
      </c>
      <c r="H3141" s="0" t="inlineStr">
        <is>
          <t>L</t>
        </is>
      </c>
      <c r="I3141" s="0">
        <v>44.99</v>
      </c>
      <c r="J3141" s="0">
        <v>74</v>
      </c>
    </row>
    <row r="3142" spans="1:10" customHeight="0">
      <c r="A3142" s="0">
        <f>HYPERLINK("https://dl.dropboxusercontent.com/scl/fi/cqbezgyfjlmsqp1gzre9r/98807-af.jpg?rlkey=z65vpmfhr8sv9xnuk9cg1h9tz&amp;dl=0","Click to download Image")</f>
      </c>
      <c r="C3142" s="0" t="inlineStr">
        <is>
          <t>Christopher Half Zip Men's Hoodie</t>
        </is>
      </c>
      <c r="D3142" s="1">
        <v>98807</v>
      </c>
      <c r="E3142" s="0" t="inlineStr">
        <is>
          <t>CHRISTOPHER:98807D-XL</t>
        </is>
      </c>
      <c r="G3142" s="0" t="inlineStr">
        <is>
          <t>MENS</t>
        </is>
      </c>
      <c r="H3142" s="0" t="inlineStr">
        <is>
          <t>XL</t>
        </is>
      </c>
      <c r="I3142" s="0">
        <v>44.99</v>
      </c>
      <c r="J3142" s="0">
        <v>65</v>
      </c>
    </row>
    <row r="3143" spans="1:10" customHeight="0">
      <c r="A3143" s="0">
        <f>HYPERLINK("https://dl.dropboxusercontent.com/scl/fi/cqbezgyfjlmsqp1gzre9r/98807-af.jpg?rlkey=z65vpmfhr8sv9xnuk9cg1h9tz&amp;dl=0","Click to download Image")</f>
      </c>
      <c r="C3143" s="0" t="inlineStr">
        <is>
          <t>Christopher Half Zip Men's Hoodie</t>
        </is>
      </c>
      <c r="D3143" s="1">
        <v>98807</v>
      </c>
      <c r="E3143" s="0" t="inlineStr">
        <is>
          <t>CHRISTOPHER:98807E-2XL</t>
        </is>
      </c>
      <c r="G3143" s="0" t="inlineStr">
        <is>
          <t>MENS</t>
        </is>
      </c>
      <c r="H3143" s="0" t="inlineStr">
        <is>
          <t>2XL</t>
        </is>
      </c>
      <c r="I3143" s="0">
        <v>46.99</v>
      </c>
      <c r="J3143" s="0">
        <v>58</v>
      </c>
    </row>
    <row r="3144" spans="1:10" customHeight="0">
      <c r="A3144" s="0">
        <f>HYPERLINK("https://dl.dropboxusercontent.com/scl/fi/cqbezgyfjlmsqp1gzre9r/98807-af.jpg?rlkey=z65vpmfhr8sv9xnuk9cg1h9tz&amp;dl=0","Click to download Image")</f>
      </c>
      <c r="C3144" s="0" t="inlineStr">
        <is>
          <t>Christopher Half Zip Men's Hoodie</t>
        </is>
      </c>
      <c r="D3144" s="1">
        <v>98807</v>
      </c>
      <c r="E3144" s="0" t="inlineStr">
        <is>
          <t>CHRISTOPHER:98807F-3XL</t>
        </is>
      </c>
      <c r="G3144" s="0" t="inlineStr">
        <is>
          <t>MENS</t>
        </is>
      </c>
      <c r="H3144" s="0" t="inlineStr">
        <is>
          <t>3XL</t>
        </is>
      </c>
      <c r="I3144" s="0">
        <v>46.99</v>
      </c>
      <c r="J3144" s="0">
        <v>19</v>
      </c>
    </row>
    <row r="3145" spans="1:10" customHeight="0">
      <c r="A3145" s="0">
        <f>HYPERLINK("https://dl.dropboxusercontent.com/scl/fi/4r9x19y4itkk516mzw8tt/92251-f.jpg?rlkey=toun4pzd0gmz8yspmfh1vvv8e&amp;dl=0","Click to download Image")</f>
      </c>
      <c r="C3145" s="0" t="inlineStr">
        <is>
          <t>Deluxe Backpack</t>
        </is>
      </c>
      <c r="D3145" s="1">
        <v>92251</v>
      </c>
      <c r="E3145" s="0" t="inlineStr">
        <is>
          <t>DELUXE:92251-DLX</t>
        </is>
      </c>
      <c r="I3145" s="0">
        <v>49.99</v>
      </c>
      <c r="J3145" s="0">
        <v>148</v>
      </c>
    </row>
    <row r="3146" spans="1:10" customHeight="0">
      <c r="A3146" s="0">
        <f>HYPERLINK("https://dl.dropboxusercontent.com/scl/fi/q7v5v29xb700j5hxxszrn/91951-f.jpg?rlkey=o1e5i4xwtr8j6d7hvzgh4rjzf&amp;dl=0","Click to download Image")</f>
      </c>
      <c r="C3146" s="0" t="inlineStr">
        <is>
          <t>Deluxe Backpack</t>
        </is>
      </c>
      <c r="D3146" s="1">
        <v>91951</v>
      </c>
      <c r="E3146" s="0" t="inlineStr">
        <is>
          <t>DELUXE:91951-DLX</t>
        </is>
      </c>
      <c r="I3146" s="0">
        <v>49.99</v>
      </c>
      <c r="J3146" s="0">
        <v>298</v>
      </c>
    </row>
    <row r="3147" spans="1:10" customHeight="0">
      <c r="A3147" s="0">
        <f>HYPERLINK("https://dl.dropboxusercontent.com/scl/fi/4q3t20qqqchx467vmzp49/97131f33966.jpg?rlkey=6t3pdv5rz053k92zqmtaovsbu&amp;dl=0","Click to download Image")</f>
      </c>
      <c r="B3147" s="0">
        <f>HYPERLINK("https://dl.dropboxusercontent.com/scl/fi/y4jmdfw0ei975g913argn/size-chart-ladies-a.jpg?rlkey=4gvm0yz50prjm09mdattssmpq&amp;dl=0","Click to download SizeChart")</f>
      </c>
      <c r="C3147" s="0" t="inlineStr">
        <is>
          <t>Madelyn Burnout Long Sleeve</t>
        </is>
      </c>
      <c r="D3147" s="1">
        <v>97131</v>
      </c>
      <c r="E3147" s="0" t="inlineStr">
        <is>
          <t>MADELYN:97131A-S</t>
        </is>
      </c>
      <c r="F3147" s="2">
        <v>80009713101</v>
      </c>
      <c r="G3147" s="0" t="inlineStr">
        <is>
          <t>WOMENS</t>
        </is>
      </c>
      <c r="H3147" s="0" t="inlineStr">
        <is>
          <t>S</t>
        </is>
      </c>
      <c r="I3147" s="0">
        <v>29.99</v>
      </c>
      <c r="J3147" s="0">
        <v>4</v>
      </c>
    </row>
    <row r="3148" spans="1:10" customHeight="0">
      <c r="A3148" s="0">
        <f>HYPERLINK("https://dl.dropboxusercontent.com/scl/fi/4q3t20qqqchx467vmzp49/97131f33966.jpg?rlkey=6t3pdv5rz053k92zqmtaovsbu&amp;dl=0","Click to download Image")</f>
      </c>
      <c r="B3148" s="0">
        <f>HYPERLINK("https://dl.dropboxusercontent.com/scl/fi/y4jmdfw0ei975g913argn/size-chart-ladies-a.jpg?rlkey=4gvm0yz50prjm09mdattssmpq&amp;dl=0","Click to download SizeChart")</f>
      </c>
      <c r="C3148" s="0" t="inlineStr">
        <is>
          <t>Madelyn Burnout Long Sleeve</t>
        </is>
      </c>
      <c r="D3148" s="1">
        <v>97131</v>
      </c>
      <c r="E3148" s="0" t="inlineStr">
        <is>
          <t>MADELYN:97131B-M</t>
        </is>
      </c>
      <c r="F3148" s="2">
        <v>80009713102</v>
      </c>
      <c r="G3148" s="0" t="inlineStr">
        <is>
          <t>WOMENS</t>
        </is>
      </c>
      <c r="H3148" s="0" t="inlineStr">
        <is>
          <t>M</t>
        </is>
      </c>
      <c r="I3148" s="0">
        <v>29.99</v>
      </c>
      <c r="J3148" s="0">
        <v>15</v>
      </c>
    </row>
    <row r="3149" spans="1:10" customHeight="0">
      <c r="A3149" s="0">
        <f>HYPERLINK("https://dl.dropboxusercontent.com/scl/fi/4q3t20qqqchx467vmzp49/97131f33966.jpg?rlkey=6t3pdv5rz053k92zqmtaovsbu&amp;dl=0","Click to download Image")</f>
      </c>
      <c r="B3149" s="0">
        <f>HYPERLINK("https://dl.dropboxusercontent.com/scl/fi/y4jmdfw0ei975g913argn/size-chart-ladies-a.jpg?rlkey=4gvm0yz50prjm09mdattssmpq&amp;dl=0","Click to download SizeChart")</f>
      </c>
      <c r="C3149" s="0" t="inlineStr">
        <is>
          <t>Madelyn Burnout Long Sleeve</t>
        </is>
      </c>
      <c r="D3149" s="1">
        <v>97131</v>
      </c>
      <c r="E3149" s="0" t="inlineStr">
        <is>
          <t>MADELYN:97131C-L</t>
        </is>
      </c>
      <c r="F3149" s="2">
        <v>80009713103</v>
      </c>
      <c r="G3149" s="0" t="inlineStr">
        <is>
          <t>WOMENS</t>
        </is>
      </c>
      <c r="H3149" s="0" t="inlineStr">
        <is>
          <t>L</t>
        </is>
      </c>
      <c r="I3149" s="0">
        <v>29.99</v>
      </c>
      <c r="J3149" s="0">
        <v>44</v>
      </c>
    </row>
    <row r="3150" spans="1:10" customHeight="0">
      <c r="A3150" s="0">
        <f>HYPERLINK("https://dl.dropboxusercontent.com/scl/fi/4q3t20qqqchx467vmzp49/97131f33966.jpg?rlkey=6t3pdv5rz053k92zqmtaovsbu&amp;dl=0","Click to download Image")</f>
      </c>
      <c r="B3150" s="0">
        <f>HYPERLINK("https://dl.dropboxusercontent.com/scl/fi/y4jmdfw0ei975g913argn/size-chart-ladies-a.jpg?rlkey=4gvm0yz50prjm09mdattssmpq&amp;dl=0","Click to download SizeChart")</f>
      </c>
      <c r="C3150" s="0" t="inlineStr">
        <is>
          <t>Madelyn Burnout Long Sleeve</t>
        </is>
      </c>
      <c r="D3150" s="1">
        <v>97131</v>
      </c>
      <c r="E3150" s="0" t="inlineStr">
        <is>
          <t>MADELYN:97131D-XL</t>
        </is>
      </c>
      <c r="F3150" s="2">
        <v>80009713104</v>
      </c>
      <c r="G3150" s="0" t="inlineStr">
        <is>
          <t>WOMENS</t>
        </is>
      </c>
      <c r="H3150" s="0" t="inlineStr">
        <is>
          <t>XL</t>
        </is>
      </c>
      <c r="I3150" s="0">
        <v>29.99</v>
      </c>
      <c r="J3150" s="0">
        <v>52</v>
      </c>
    </row>
    <row r="3151" spans="1:10" customHeight="0">
      <c r="A3151" s="0">
        <f>HYPERLINK("https://dl.dropboxusercontent.com/scl/fi/4q3t20qqqchx467vmzp49/97131f33966.jpg?rlkey=6t3pdv5rz053k92zqmtaovsbu&amp;dl=0","Click to download Image")</f>
      </c>
      <c r="B3151" s="0">
        <f>HYPERLINK("https://dl.dropboxusercontent.com/scl/fi/y4jmdfw0ei975g913argn/size-chart-ladies-a.jpg?rlkey=4gvm0yz50prjm09mdattssmpq&amp;dl=0","Click to download SizeChart")</f>
      </c>
      <c r="C3151" s="0" t="inlineStr">
        <is>
          <t>Madelyn Burnout Long Sleeve</t>
        </is>
      </c>
      <c r="D3151" s="1">
        <v>97131</v>
      </c>
      <c r="E3151" s="0" t="inlineStr">
        <is>
          <t>MADELYN:97131E-2XL</t>
        </is>
      </c>
      <c r="F3151" s="2">
        <v>80009713105</v>
      </c>
      <c r="G3151" s="0" t="inlineStr">
        <is>
          <t>WOMENS</t>
        </is>
      </c>
      <c r="H3151" s="0" t="inlineStr">
        <is>
          <t>2XL</t>
        </is>
      </c>
      <c r="I3151" s="0">
        <v>31.99</v>
      </c>
      <c r="J3151" s="0">
        <v>28</v>
      </c>
    </row>
    <row r="3152" spans="1:10" customHeight="0">
      <c r="A3152" s="0">
        <f>HYPERLINK("https://dl.dropboxusercontent.com/scl/fi/4q3t20qqqchx467vmzp49/97131f33966.jpg?rlkey=6t3pdv5rz053k92zqmtaovsbu&amp;dl=0","Click to download Image")</f>
      </c>
      <c r="B3152" s="0">
        <f>HYPERLINK("https://dl.dropboxusercontent.com/scl/fi/y4jmdfw0ei975g913argn/size-chart-ladies-a.jpg?rlkey=4gvm0yz50prjm09mdattssmpq&amp;dl=0","Click to download SizeChart")</f>
      </c>
      <c r="C3152" s="0" t="inlineStr">
        <is>
          <t>Madelyn Burnout Long Sleeve</t>
        </is>
      </c>
      <c r="D3152" s="1">
        <v>97131</v>
      </c>
      <c r="E3152" s="0" t="inlineStr">
        <is>
          <t>MADELYN:97131F-3XL</t>
        </is>
      </c>
      <c r="F3152" s="2">
        <v>80009713106</v>
      </c>
      <c r="G3152" s="0" t="inlineStr">
        <is>
          <t>WOMENS</t>
        </is>
      </c>
      <c r="H3152" s="0" t="inlineStr">
        <is>
          <t>3XL</t>
        </is>
      </c>
      <c r="I3152" s="0">
        <v>31.99</v>
      </c>
      <c r="J3152" s="0">
        <v>19</v>
      </c>
    </row>
    <row r="3153" spans="1:10" customHeight="0">
      <c r="A3153" s="0">
        <f>HYPERLINK("https://dl.dropboxusercontent.com/scl/fi/sojwbiummvfq065qwb13o/94330-af.png?rlkey=67yonrrkzcbhef7ve4so74qoc&amp;dl=0","Click to download Image")</f>
      </c>
      <c r="C3153" s="0" t="inlineStr">
        <is>
          <t>Impact Duffle Bag</t>
        </is>
      </c>
      <c r="D3153" s="1">
        <v>94330</v>
      </c>
      <c r="E3153" s="0" t="inlineStr">
        <is>
          <t>IMPACT:94330</t>
        </is>
      </c>
      <c r="F3153" s="2">
        <v>90009433001</v>
      </c>
      <c r="I3153" s="0">
        <v>29.99</v>
      </c>
      <c r="J3153" s="0">
        <v>159</v>
      </c>
    </row>
    <row r="3154" spans="1:10" customHeight="0">
      <c r="A3154" s="0">
        <f>HYPERLINK("https://dl.dropboxusercontent.com/scl/fi/76yjm172j4b011e68pps3/noah.jpg?rlkey=988bxgw32fo25cl7ye5vhctfr&amp;dl=0","Click to download Image")</f>
      </c>
      <c r="B3154" s="0">
        <f>HYPERLINK("https://dl.dropboxusercontent.com/scl/fi/l8w18zile0slw3rcw6io0/size-chartyouth-b.jpg?rlkey=qv2tjepont1iownp2um4ddyku&amp;dl=0","Click to download SizeChart")</f>
      </c>
      <c r="C3154" s="0" t="inlineStr">
        <is>
          <t>Noah Youth Hoodie</t>
        </is>
      </c>
      <c r="D3154" s="1">
        <v>98104</v>
      </c>
      <c r="E3154" s="0" t="inlineStr">
        <is>
          <t>NOAH:98104A-YS</t>
        </is>
      </c>
      <c r="G3154" s="0" t="inlineStr">
        <is>
          <t>YOUTH</t>
        </is>
      </c>
      <c r="H3154" s="0" t="inlineStr">
        <is>
          <t>YS</t>
        </is>
      </c>
      <c r="I3154" s="0">
        <v>44.99</v>
      </c>
      <c r="J3154" s="0">
        <v>107</v>
      </c>
    </row>
    <row r="3155" spans="1:10" customHeight="0">
      <c r="A3155" s="0">
        <f>HYPERLINK("https://dl.dropboxusercontent.com/scl/fi/76yjm172j4b011e68pps3/noah.jpg?rlkey=988bxgw32fo25cl7ye5vhctfr&amp;dl=0","Click to download Image")</f>
      </c>
      <c r="B3155" s="0">
        <f>HYPERLINK("https://dl.dropboxusercontent.com/scl/fi/l8w18zile0slw3rcw6io0/size-chartyouth-b.jpg?rlkey=qv2tjepont1iownp2um4ddyku&amp;dl=0","Click to download SizeChart")</f>
      </c>
      <c r="C3155" s="0" t="inlineStr">
        <is>
          <t>Noah Youth Hoodie</t>
        </is>
      </c>
      <c r="D3155" s="1">
        <v>98104</v>
      </c>
      <c r="E3155" s="0" t="inlineStr">
        <is>
          <t>NOAH:98104B-YM</t>
        </is>
      </c>
      <c r="G3155" s="0" t="inlineStr">
        <is>
          <t>YOUTH</t>
        </is>
      </c>
      <c r="H3155" s="0" t="inlineStr">
        <is>
          <t>YM</t>
        </is>
      </c>
      <c r="I3155" s="0">
        <v>44.99</v>
      </c>
      <c r="J3155" s="0">
        <v>101</v>
      </c>
    </row>
    <row r="3156" spans="1:10" customHeight="0">
      <c r="A3156" s="0">
        <f>HYPERLINK("https://dl.dropboxusercontent.com/scl/fi/76yjm172j4b011e68pps3/noah.jpg?rlkey=988bxgw32fo25cl7ye5vhctfr&amp;dl=0","Click to download Image")</f>
      </c>
      <c r="B3156" s="0">
        <f>HYPERLINK("https://dl.dropboxusercontent.com/scl/fi/l8w18zile0slw3rcw6io0/size-chartyouth-b.jpg?rlkey=qv2tjepont1iownp2um4ddyku&amp;dl=0","Click to download SizeChart")</f>
      </c>
      <c r="C3156" s="0" t="inlineStr">
        <is>
          <t>Noah Youth Hoodie</t>
        </is>
      </c>
      <c r="D3156" s="1">
        <v>98104</v>
      </c>
      <c r="E3156" s="0" t="inlineStr">
        <is>
          <t>NOAH:98104C-YL</t>
        </is>
      </c>
      <c r="G3156" s="0" t="inlineStr">
        <is>
          <t>YOUTH</t>
        </is>
      </c>
      <c r="H3156" s="0" t="inlineStr">
        <is>
          <t>YL</t>
        </is>
      </c>
      <c r="I3156" s="0">
        <v>44.99</v>
      </c>
      <c r="J3156" s="0">
        <v>78</v>
      </c>
    </row>
    <row r="3157" spans="1:10" customHeight="0">
      <c r="A3157" s="0">
        <f>HYPERLINK("https://dl.dropboxusercontent.com/scl/fi/76yjm172j4b011e68pps3/noah.jpg?rlkey=988bxgw32fo25cl7ye5vhctfr&amp;dl=0","Click to download Image")</f>
      </c>
      <c r="B3157" s="0">
        <f>HYPERLINK("https://dl.dropboxusercontent.com/scl/fi/l8w18zile0slw3rcw6io0/size-chartyouth-b.jpg?rlkey=qv2tjepont1iownp2um4ddyku&amp;dl=0","Click to download SizeChart")</f>
      </c>
      <c r="C3157" s="0" t="inlineStr">
        <is>
          <t>Noah Youth Hoodie</t>
        </is>
      </c>
      <c r="D3157" s="1">
        <v>98104</v>
      </c>
      <c r="E3157" s="0" t="inlineStr">
        <is>
          <t>NOAH:98104D-YXL</t>
        </is>
      </c>
      <c r="G3157" s="0" t="inlineStr">
        <is>
          <t>YOUTH</t>
        </is>
      </c>
      <c r="H3157" s="0" t="inlineStr">
        <is>
          <t>YXL</t>
        </is>
      </c>
      <c r="I3157" s="0">
        <v>44.99</v>
      </c>
      <c r="J3157" s="0">
        <v>103</v>
      </c>
    </row>
    <row r="3158" spans="1:10" customHeight="0">
      <c r="A3158" s="0">
        <f>HYPERLINK("https://dl.dropboxusercontent.com/scl/fi/55bp1ec2lxi9nlax5cta0/94192af42665.jpg?rlkey=gv77nshkxe28gysdxo5ez39jm&amp;dl=0","Click to download Image")</f>
      </c>
      <c r="C3158" s="0" t="inlineStr">
        <is>
          <t>Kelly Backpack</t>
        </is>
      </c>
      <c r="D3158" s="1">
        <v>94192</v>
      </c>
      <c r="E3158" s="0" t="inlineStr">
        <is>
          <t>KELLY:94192</t>
        </is>
      </c>
      <c r="F3158" s="2">
        <v>90009419201</v>
      </c>
      <c r="I3158" s="0">
        <v>49.99</v>
      </c>
      <c r="J3158" s="0">
        <v>252</v>
      </c>
    </row>
    <row r="3159" spans="1:10" customHeight="0">
      <c r="A3159" s="0">
        <f>HYPERLINK("https://dl.dropboxusercontent.com/scl/fi/yakvwd4pmen1f3ifjpizg/hooded.jpg?rlkey=8jp7a6uonc8vr7diksp26l8ws&amp;dl=0","Click to download Image")</f>
      </c>
      <c r="C3159" s="0" t="inlineStr">
        <is>
          <t>Herky Youth Hooded Backpack</t>
        </is>
      </c>
      <c r="D3159" s="1">
        <v>94281</v>
      </c>
      <c r="E3159" s="0" t="inlineStr">
        <is>
          <t>HOODED:94281</t>
        </is>
      </c>
      <c r="F3159" s="2">
        <v>90009428101</v>
      </c>
      <c r="I3159" s="0">
        <v>22.99</v>
      </c>
      <c r="J3159" s="0">
        <v>369</v>
      </c>
    </row>
    <row r="3160" spans="1:10" customHeight="0">
      <c r="A3160" s="0">
        <f>HYPERLINK("https://dl.dropboxusercontent.com/scl/fi/sxvekjewbs67p61rue504/hannah.jpg?rlkey=p8muf3b8uh1y00huudsp4do6h&amp;dl=0","Click to download Image")</f>
      </c>
      <c r="C3160" s="0" t="inlineStr">
        <is>
          <t>Hannah French Terry Tote</t>
        </is>
      </c>
      <c r="D3160" s="1">
        <v>95975</v>
      </c>
      <c r="E3160" s="0" t="inlineStr">
        <is>
          <t>HANNAH:95975</t>
        </is>
      </c>
      <c r="F3160" s="2">
        <v>90009597501</v>
      </c>
      <c r="I3160" s="0">
        <v>29.99</v>
      </c>
      <c r="J3160" s="0">
        <v>143</v>
      </c>
    </row>
    <row r="3161" spans="1:10" customHeight="0">
      <c r="A3161" s="0">
        <f>HYPERLINK("https://dl.dropboxusercontent.com/scl/fi/yacq71415nqrqmfluqtt6/nathan.jpg?rlkey=dqi9f6somhurhws2wrg0p9qap&amp;dl=0","Click to download Image")</f>
      </c>
      <c r="B3161" s="0">
        <f>HYPERLINK("https://dl.dropboxusercontent.com/scl/fi/05s4x5u4j0p031tlk92f5/mens-e.jpg?rlkey=2hoijy247kkqh3r0no8cfxipi&amp;dl=0","Click to download SizeChart")</f>
      </c>
      <c r="C3161" s="0" t="inlineStr">
        <is>
          <t>Nathan Men's Hooded Shirt</t>
        </is>
      </c>
      <c r="D3161" s="1">
        <v>98747</v>
      </c>
      <c r="E3161" s="0" t="inlineStr">
        <is>
          <t>NATHAN:98747A-S</t>
        </is>
      </c>
      <c r="G3161" s="0" t="inlineStr">
        <is>
          <t>MENS</t>
        </is>
      </c>
      <c r="H3161" s="0" t="inlineStr">
        <is>
          <t>S</t>
        </is>
      </c>
      <c r="I3161" s="0">
        <v>39.99</v>
      </c>
      <c r="J3161" s="0">
        <v>28</v>
      </c>
    </row>
    <row r="3162" spans="1:10" customHeight="0">
      <c r="A3162" s="0">
        <f>HYPERLINK("https://dl.dropboxusercontent.com/scl/fi/yacq71415nqrqmfluqtt6/nathan.jpg?rlkey=dqi9f6somhurhws2wrg0p9qap&amp;dl=0","Click to download Image")</f>
      </c>
      <c r="B3162" s="0">
        <f>HYPERLINK("https://dl.dropboxusercontent.com/scl/fi/05s4x5u4j0p031tlk92f5/mens-e.jpg?rlkey=2hoijy247kkqh3r0no8cfxipi&amp;dl=0","Click to download SizeChart")</f>
      </c>
      <c r="C3162" s="0" t="inlineStr">
        <is>
          <t>Nathan Men's Hooded Shirt</t>
        </is>
      </c>
      <c r="D3162" s="1">
        <v>98747</v>
      </c>
      <c r="E3162" s="0" t="inlineStr">
        <is>
          <t>NATHAN:98747B-M</t>
        </is>
      </c>
      <c r="G3162" s="0" t="inlineStr">
        <is>
          <t>MENS</t>
        </is>
      </c>
      <c r="H3162" s="0" t="inlineStr">
        <is>
          <t>M</t>
        </is>
      </c>
      <c r="I3162" s="0">
        <v>39.99</v>
      </c>
      <c r="J3162" s="0">
        <v>43</v>
      </c>
    </row>
    <row r="3163" spans="1:10" customHeight="0">
      <c r="A3163" s="0">
        <f>HYPERLINK("https://dl.dropboxusercontent.com/scl/fi/yacq71415nqrqmfluqtt6/nathan.jpg?rlkey=dqi9f6somhurhws2wrg0p9qap&amp;dl=0","Click to download Image")</f>
      </c>
      <c r="B3163" s="0">
        <f>HYPERLINK("https://dl.dropboxusercontent.com/scl/fi/05s4x5u4j0p031tlk92f5/mens-e.jpg?rlkey=2hoijy247kkqh3r0no8cfxipi&amp;dl=0","Click to download SizeChart")</f>
      </c>
      <c r="C3163" s="0" t="inlineStr">
        <is>
          <t>Nathan Men's Hooded Shirt</t>
        </is>
      </c>
      <c r="D3163" s="1">
        <v>98747</v>
      </c>
      <c r="E3163" s="0" t="inlineStr">
        <is>
          <t>NATHAN:98747C-L</t>
        </is>
      </c>
      <c r="G3163" s="0" t="inlineStr">
        <is>
          <t>MENS</t>
        </is>
      </c>
      <c r="H3163" s="0" t="inlineStr">
        <is>
          <t>L</t>
        </is>
      </c>
      <c r="I3163" s="0">
        <v>39.99</v>
      </c>
      <c r="J3163" s="0">
        <v>30</v>
      </c>
    </row>
    <row r="3164" spans="1:10" customHeight="0">
      <c r="A3164" s="0">
        <f>HYPERLINK("https://dl.dropboxusercontent.com/scl/fi/yacq71415nqrqmfluqtt6/nathan.jpg?rlkey=dqi9f6somhurhws2wrg0p9qap&amp;dl=0","Click to download Image")</f>
      </c>
      <c r="B3164" s="0">
        <f>HYPERLINK("https://dl.dropboxusercontent.com/scl/fi/05s4x5u4j0p031tlk92f5/mens-e.jpg?rlkey=2hoijy247kkqh3r0no8cfxipi&amp;dl=0","Click to download SizeChart")</f>
      </c>
      <c r="C3164" s="0" t="inlineStr">
        <is>
          <t>Nathan Men's Hooded Shirt</t>
        </is>
      </c>
      <c r="D3164" s="1">
        <v>98747</v>
      </c>
      <c r="E3164" s="0" t="inlineStr">
        <is>
          <t>NATHAN:98747D-XL</t>
        </is>
      </c>
      <c r="G3164" s="0" t="inlineStr">
        <is>
          <t>MENS</t>
        </is>
      </c>
      <c r="H3164" s="0" t="inlineStr">
        <is>
          <t>XL</t>
        </is>
      </c>
      <c r="I3164" s="0">
        <v>39.99</v>
      </c>
      <c r="J3164" s="0">
        <v>28</v>
      </c>
    </row>
    <row r="3165" spans="1:10" customHeight="0">
      <c r="A3165" s="0">
        <f>HYPERLINK("https://dl.dropboxusercontent.com/scl/fi/yacq71415nqrqmfluqtt6/nathan.jpg?rlkey=dqi9f6somhurhws2wrg0p9qap&amp;dl=0","Click to download Image")</f>
      </c>
      <c r="B3165" s="0">
        <f>HYPERLINK("https://dl.dropboxusercontent.com/scl/fi/05s4x5u4j0p031tlk92f5/mens-e.jpg?rlkey=2hoijy247kkqh3r0no8cfxipi&amp;dl=0","Click to download SizeChart")</f>
      </c>
      <c r="C3165" s="0" t="inlineStr">
        <is>
          <t>Nathan Men's Hooded Shirt</t>
        </is>
      </c>
      <c r="D3165" s="1">
        <v>98747</v>
      </c>
      <c r="E3165" s="0" t="inlineStr">
        <is>
          <t>NATHAN:98747E-2XL</t>
        </is>
      </c>
      <c r="G3165" s="0" t="inlineStr">
        <is>
          <t>MENS</t>
        </is>
      </c>
      <c r="H3165" s="0" t="inlineStr">
        <is>
          <t>2XL</t>
        </is>
      </c>
      <c r="I3165" s="0">
        <v>41.99</v>
      </c>
      <c r="J3165" s="0">
        <v>22</v>
      </c>
    </row>
    <row r="3166" spans="1:10" customHeight="0">
      <c r="A3166" s="0">
        <f>HYPERLINK("https://dl.dropboxusercontent.com/scl/fi/yacq71415nqrqmfluqtt6/nathan.jpg?rlkey=dqi9f6somhurhws2wrg0p9qap&amp;dl=0","Click to download Image")</f>
      </c>
      <c r="B3166" s="0">
        <f>HYPERLINK("https://dl.dropboxusercontent.com/scl/fi/05s4x5u4j0p031tlk92f5/mens-e.jpg?rlkey=2hoijy247kkqh3r0no8cfxipi&amp;dl=0","Click to download SizeChart")</f>
      </c>
      <c r="C3166" s="0" t="inlineStr">
        <is>
          <t>Nathan Men's Hooded Shirt</t>
        </is>
      </c>
      <c r="D3166" s="1">
        <v>98747</v>
      </c>
      <c r="E3166" s="0" t="inlineStr">
        <is>
          <t>NATHAN:98747F-3XL</t>
        </is>
      </c>
      <c r="G3166" s="0" t="inlineStr">
        <is>
          <t>MENS</t>
        </is>
      </c>
      <c r="H3166" s="0" t="inlineStr">
        <is>
          <t>3XL</t>
        </is>
      </c>
      <c r="I3166" s="0">
        <v>41.99</v>
      </c>
      <c r="J3166" s="0">
        <v>0</v>
      </c>
    </row>
    <row r="3167" spans="1:10" customHeight="0">
      <c r="A3167" s="0">
        <f>HYPERLINK("https://dl.dropboxusercontent.com/scl/fi/pqokuge0ngz3me6eg4qju/graham.jpg?rlkey=wfkznra48hop72lyfcxnynkwz&amp;dl=0","Click to download Image")</f>
      </c>
      <c r="C3167" s="0" t="inlineStr">
        <is>
          <t>Graham Packable Youth Backpack</t>
        </is>
      </c>
      <c r="D3167" s="1">
        <v>98366</v>
      </c>
      <c r="E3167" s="0" t="inlineStr">
        <is>
          <t>GRAHAM:98366</t>
        </is>
      </c>
      <c r="F3167" s="2">
        <v>90009836601</v>
      </c>
      <c r="I3167" s="0">
        <v>39.99</v>
      </c>
      <c r="J3167" s="0">
        <v>274</v>
      </c>
    </row>
    <row r="3168" spans="1:10" customHeight="0">
      <c r="A3168" s="0">
        <f>HYPERLINK("https://dl.dropboxusercontent.com/scl/fi/i3361vwpg6gvbsgiry7vw/nash.jpg?rlkey=9n9tmt65w4batv0x868824r8p&amp;dl=0","Click to download Image")</f>
      </c>
      <c r="B3168" s="0">
        <f>HYPERLINK("https://dl.dropboxusercontent.com/scl/fi/uu9b6pxxrmdiwirfhhg4s/size-chartmens-g.jpg?rlkey=9n9b7a3kh2uwc75ggcub7pory&amp;dl=0","Click to download SizeChart")</f>
      </c>
      <c r="C3168" s="0" t="inlineStr">
        <is>
          <t>Nash Men's Athletic Shorts</t>
        </is>
      </c>
      <c r="D3168" s="1">
        <v>94527</v>
      </c>
      <c r="E3168" s="0" t="inlineStr">
        <is>
          <t>NASH:94527A-S</t>
        </is>
      </c>
      <c r="G3168" s="0" t="inlineStr">
        <is>
          <t>MENS</t>
        </is>
      </c>
      <c r="H3168" s="0" t="inlineStr">
        <is>
          <t>S</t>
        </is>
      </c>
      <c r="I3168" s="0">
        <v>34.99</v>
      </c>
      <c r="J3168" s="0">
        <v>0</v>
      </c>
    </row>
    <row r="3169" spans="1:10" customHeight="0">
      <c r="A3169" s="0">
        <f>HYPERLINK("https://dl.dropboxusercontent.com/scl/fi/i3361vwpg6gvbsgiry7vw/nash.jpg?rlkey=9n9tmt65w4batv0x868824r8p&amp;dl=0","Click to download Image")</f>
      </c>
      <c r="B3169" s="0">
        <f>HYPERLINK("https://dl.dropboxusercontent.com/scl/fi/uu9b6pxxrmdiwirfhhg4s/size-chartmens-g.jpg?rlkey=9n9b7a3kh2uwc75ggcub7pory&amp;dl=0","Click to download SizeChart")</f>
      </c>
      <c r="C3169" s="0" t="inlineStr">
        <is>
          <t>Nash Men's Athletic Shorts</t>
        </is>
      </c>
      <c r="D3169" s="1">
        <v>94527</v>
      </c>
      <c r="E3169" s="0" t="inlineStr">
        <is>
          <t>NASH:94527B-M</t>
        </is>
      </c>
      <c r="G3169" s="0" t="inlineStr">
        <is>
          <t>MENS</t>
        </is>
      </c>
      <c r="H3169" s="0" t="inlineStr">
        <is>
          <t>M</t>
        </is>
      </c>
      <c r="I3169" s="0">
        <v>34.99</v>
      </c>
      <c r="J3169" s="0">
        <v>0</v>
      </c>
    </row>
    <row r="3170" spans="1:10" customHeight="0">
      <c r="A3170" s="0">
        <f>HYPERLINK("https://dl.dropboxusercontent.com/scl/fi/i3361vwpg6gvbsgiry7vw/nash.jpg?rlkey=9n9tmt65w4batv0x868824r8p&amp;dl=0","Click to download Image")</f>
      </c>
      <c r="B3170" s="0">
        <f>HYPERLINK("https://dl.dropboxusercontent.com/scl/fi/uu9b6pxxrmdiwirfhhg4s/size-chartmens-g.jpg?rlkey=9n9b7a3kh2uwc75ggcub7pory&amp;dl=0","Click to download SizeChart")</f>
      </c>
      <c r="C3170" s="0" t="inlineStr">
        <is>
          <t>Nash Men's Athletic Shorts</t>
        </is>
      </c>
      <c r="D3170" s="1">
        <v>94527</v>
      </c>
      <c r="E3170" s="0" t="inlineStr">
        <is>
          <t>NASH:94527C-L</t>
        </is>
      </c>
      <c r="G3170" s="0" t="inlineStr">
        <is>
          <t>MENS</t>
        </is>
      </c>
      <c r="H3170" s="0" t="inlineStr">
        <is>
          <t>L</t>
        </is>
      </c>
      <c r="I3170" s="0">
        <v>34.99</v>
      </c>
      <c r="J3170" s="0">
        <v>22</v>
      </c>
    </row>
    <row r="3171" spans="1:10" customHeight="0">
      <c r="A3171" s="0">
        <f>HYPERLINK("https://dl.dropboxusercontent.com/scl/fi/i3361vwpg6gvbsgiry7vw/nash.jpg?rlkey=9n9tmt65w4batv0x868824r8p&amp;dl=0","Click to download Image")</f>
      </c>
      <c r="B3171" s="0">
        <f>HYPERLINK("https://dl.dropboxusercontent.com/scl/fi/uu9b6pxxrmdiwirfhhg4s/size-chartmens-g.jpg?rlkey=9n9b7a3kh2uwc75ggcub7pory&amp;dl=0","Click to download SizeChart")</f>
      </c>
      <c r="C3171" s="0" t="inlineStr">
        <is>
          <t>Nash Men's Athletic Shorts</t>
        </is>
      </c>
      <c r="D3171" s="1">
        <v>94527</v>
      </c>
      <c r="E3171" s="0" t="inlineStr">
        <is>
          <t>NASH:94527D-XL</t>
        </is>
      </c>
      <c r="G3171" s="0" t="inlineStr">
        <is>
          <t>MENS</t>
        </is>
      </c>
      <c r="H3171" s="0" t="inlineStr">
        <is>
          <t>XL</t>
        </is>
      </c>
      <c r="I3171" s="0">
        <v>34.99</v>
      </c>
      <c r="J3171" s="0">
        <v>32</v>
      </c>
    </row>
    <row r="3172" spans="1:10" customHeight="0">
      <c r="A3172" s="0">
        <f>HYPERLINK("https://dl.dropboxusercontent.com/scl/fi/i3361vwpg6gvbsgiry7vw/nash.jpg?rlkey=9n9tmt65w4batv0x868824r8p&amp;dl=0","Click to download Image")</f>
      </c>
      <c r="B3172" s="0">
        <f>HYPERLINK("https://dl.dropboxusercontent.com/scl/fi/uu9b6pxxrmdiwirfhhg4s/size-chartmens-g.jpg?rlkey=9n9b7a3kh2uwc75ggcub7pory&amp;dl=0","Click to download SizeChart")</f>
      </c>
      <c r="C3172" s="0" t="inlineStr">
        <is>
          <t>Nash Men's Athletic Shorts</t>
        </is>
      </c>
      <c r="D3172" s="1">
        <v>94527</v>
      </c>
      <c r="E3172" s="0" t="inlineStr">
        <is>
          <t>NASH:94527E-2X</t>
        </is>
      </c>
      <c r="G3172" s="0" t="inlineStr">
        <is>
          <t>MENS</t>
        </is>
      </c>
      <c r="H3172" s="0" t="inlineStr">
        <is>
          <t>2XL</t>
        </is>
      </c>
      <c r="I3172" s="0">
        <v>36.99</v>
      </c>
      <c r="J3172" s="0">
        <v>11</v>
      </c>
    </row>
    <row r="3173" spans="1:10" customHeight="0">
      <c r="A3173" s="0">
        <f>HYPERLINK("https://dl.dropboxusercontent.com/scl/fi/i3361vwpg6gvbsgiry7vw/nash.jpg?rlkey=9n9tmt65w4batv0x868824r8p&amp;dl=0","Click to download Image")</f>
      </c>
      <c r="B3173" s="0">
        <f>HYPERLINK("https://dl.dropboxusercontent.com/scl/fi/uu9b6pxxrmdiwirfhhg4s/size-chartmens-g.jpg?rlkey=9n9b7a3kh2uwc75ggcub7pory&amp;dl=0","Click to download SizeChart")</f>
      </c>
      <c r="C3173" s="0" t="inlineStr">
        <is>
          <t>Nash Men's Athletic Shorts</t>
        </is>
      </c>
      <c r="D3173" s="1">
        <v>94527</v>
      </c>
      <c r="E3173" s="0" t="inlineStr">
        <is>
          <t>NASH:94527F-3X</t>
        </is>
      </c>
      <c r="G3173" s="0" t="inlineStr">
        <is>
          <t>MENS</t>
        </is>
      </c>
      <c r="H3173" s="0" t="inlineStr">
        <is>
          <t>3XL</t>
        </is>
      </c>
      <c r="I3173" s="0">
        <v>36.99</v>
      </c>
      <c r="J3173" s="0">
        <v>8</v>
      </c>
    </row>
    <row r="3174" spans="1:10" customHeight="0">
      <c r="A3174" s="0">
        <f>HYPERLINK("https://dl.dropboxusercontent.com/scl/fi/fg6upin2tinejf8pfwx4w/95384f01736.jpg?rlkey=zmel69qtzmliv36syo3ke9vms&amp;dl=0","Click to download Image")</f>
      </c>
      <c r="B3174" s="0">
        <f>HYPERLINK("https://dl.dropboxusercontent.com/scl/fi/thbwhnfr8qic9uaa2xhra/ladies-b-1.jpg?rlkey=8y6vir7q0cfuqlkpum4pwd0b6&amp;dl=0","Click to download SizeChart")</f>
      </c>
      <c r="C3174" s="0" t="inlineStr">
        <is>
          <t>Claire French Terry Hoodie</t>
        </is>
      </c>
      <c r="D3174" s="1">
        <v>95384</v>
      </c>
      <c r="E3174" s="0" t="inlineStr">
        <is>
          <t>CLAIRE:95384C-L</t>
        </is>
      </c>
      <c r="G3174" s="0" t="inlineStr">
        <is>
          <t>WOMENS</t>
        </is>
      </c>
      <c r="H3174" s="0" t="inlineStr">
        <is>
          <t>L</t>
        </is>
      </c>
      <c r="I3174" s="0">
        <v>49.99</v>
      </c>
      <c r="J3174" s="0">
        <v>15</v>
      </c>
    </row>
    <row r="3175" spans="1:10" customHeight="0">
      <c r="A3175" s="0">
        <f>HYPERLINK("https://dl.dropboxusercontent.com/scl/fi/fg6upin2tinejf8pfwx4w/95384f01736.jpg?rlkey=zmel69qtzmliv36syo3ke9vms&amp;dl=0","Click to download Image")</f>
      </c>
      <c r="B3175" s="0">
        <f>HYPERLINK("https://dl.dropboxusercontent.com/scl/fi/thbwhnfr8qic9uaa2xhra/ladies-b-1.jpg?rlkey=8y6vir7q0cfuqlkpum4pwd0b6&amp;dl=0","Click to download SizeChart")</f>
      </c>
      <c r="C3175" s="0" t="inlineStr">
        <is>
          <t>Claire French Terry Hoodie</t>
        </is>
      </c>
      <c r="D3175" s="1">
        <v>95384</v>
      </c>
      <c r="E3175" s="0" t="inlineStr">
        <is>
          <t>CLAIRE:95384D-XL</t>
        </is>
      </c>
      <c r="G3175" s="0" t="inlineStr">
        <is>
          <t>WOMENS</t>
        </is>
      </c>
      <c r="H3175" s="0" t="inlineStr">
        <is>
          <t>XL</t>
        </is>
      </c>
      <c r="I3175" s="0">
        <v>49.99</v>
      </c>
      <c r="J3175" s="0">
        <v>8</v>
      </c>
    </row>
    <row r="3176" spans="1:10" customHeight="0">
      <c r="A3176" s="0">
        <f>HYPERLINK("https://dl.dropboxusercontent.com/scl/fi/tjbqwjefdgc29o6ogqwfb/99821set59774.jpg?rlkey=lpz52cfeh069y0iqc788ayovd&amp;dl=0","Click to download Image")</f>
      </c>
      <c r="C3176" s="0" t="inlineStr">
        <is>
          <t>Kyrie Infant Set</t>
        </is>
      </c>
      <c r="D3176" s="1">
        <v>99821</v>
      </c>
      <c r="E3176" s="0" t="inlineStr">
        <is>
          <t>KYRIE:99821A-0-3M</t>
        </is>
      </c>
      <c r="F3176" s="2">
        <v>80009982101</v>
      </c>
      <c r="G3176" s="0" t="inlineStr">
        <is>
          <t>INFANT</t>
        </is>
      </c>
      <c r="H3176" s="0" t="inlineStr">
        <is>
          <t>0-3M</t>
        </is>
      </c>
      <c r="I3176" s="0">
        <v>24.99</v>
      </c>
      <c r="J3176" s="0">
        <v>58</v>
      </c>
    </row>
    <row r="3177" spans="1:10" customHeight="0">
      <c r="A3177" s="0">
        <f>HYPERLINK("https://dl.dropboxusercontent.com/scl/fi/tjbqwjefdgc29o6ogqwfb/99821set59774.jpg?rlkey=lpz52cfeh069y0iqc788ayovd&amp;dl=0","Click to download Image")</f>
      </c>
      <c r="C3177" s="0" t="inlineStr">
        <is>
          <t>Kyrie Infant Set</t>
        </is>
      </c>
      <c r="D3177" s="1">
        <v>99821</v>
      </c>
      <c r="E3177" s="0" t="inlineStr">
        <is>
          <t>KYRIE:99821B-3-6M</t>
        </is>
      </c>
      <c r="F3177" s="2">
        <v>80009982102</v>
      </c>
      <c r="G3177" s="0" t="inlineStr">
        <is>
          <t>INFANT</t>
        </is>
      </c>
      <c r="H3177" s="0" t="inlineStr">
        <is>
          <t>3-6M</t>
        </is>
      </c>
      <c r="I3177" s="0">
        <v>24.99</v>
      </c>
      <c r="J3177" s="0">
        <v>51</v>
      </c>
    </row>
    <row r="3178" spans="1:10" customHeight="0">
      <c r="A3178" s="0">
        <f>HYPERLINK("https://dl.dropboxusercontent.com/scl/fi/tjbqwjefdgc29o6ogqwfb/99821set59774.jpg?rlkey=lpz52cfeh069y0iqc788ayovd&amp;dl=0","Click to download Image")</f>
      </c>
      <c r="C3178" s="0" t="inlineStr">
        <is>
          <t>Kyrie Infant Set</t>
        </is>
      </c>
      <c r="D3178" s="1">
        <v>99821</v>
      </c>
      <c r="E3178" s="0" t="inlineStr">
        <is>
          <t>KYRIE:99821C-6-9M</t>
        </is>
      </c>
      <c r="F3178" s="2">
        <v>80009982103</v>
      </c>
      <c r="G3178" s="0" t="inlineStr">
        <is>
          <t>INFANT</t>
        </is>
      </c>
      <c r="H3178" s="0" t="inlineStr">
        <is>
          <t>6-9M</t>
        </is>
      </c>
      <c r="I3178" s="0">
        <v>24.99</v>
      </c>
      <c r="J3178" s="0">
        <v>48</v>
      </c>
    </row>
    <row r="3179" spans="1:10" customHeight="0">
      <c r="A3179" s="0">
        <f>HYPERLINK("https://dl.dropboxusercontent.com/scl/fi/tjbqwjefdgc29o6ogqwfb/99821set59774.jpg?rlkey=lpz52cfeh069y0iqc788ayovd&amp;dl=0","Click to download Image")</f>
      </c>
      <c r="C3179" s="0" t="inlineStr">
        <is>
          <t>Kyrie Infant Set</t>
        </is>
      </c>
      <c r="D3179" s="1">
        <v>99821</v>
      </c>
      <c r="E3179" s="0" t="inlineStr">
        <is>
          <t>KYRIE:99821D-9-12M</t>
        </is>
      </c>
      <c r="F3179" s="2">
        <v>80009982104</v>
      </c>
      <c r="G3179" s="0" t="inlineStr">
        <is>
          <t>INFANT</t>
        </is>
      </c>
      <c r="H3179" s="0" t="inlineStr">
        <is>
          <t>12M</t>
        </is>
      </c>
      <c r="I3179" s="0">
        <v>24.99</v>
      </c>
      <c r="J3179" s="0">
        <v>52</v>
      </c>
    </row>
    <row r="3180" spans="1:10" customHeight="0">
      <c r="A3180" s="0">
        <f>HYPERLINK("https://dl.dropboxusercontent.com/scl/fi/duz7qjldcq1dzjcb2ez86/miriam.jpg?rlkey=cgyvs44zr3mzbh0uunb1polcr&amp;dl=0","Click to download Image")</f>
      </c>
      <c r="B3180" s="0">
        <f>HYPERLINK("https://dl.dropboxusercontent.com/scl/fi/33dg4mldp2g34ne0pi4s6/ladies-b.jpg?rlkey=9m4iic07nn925fvllugjxhfgj&amp;dl=0","Click to download SizeChart")</f>
      </c>
      <c r="C3180" s="0" t="inlineStr">
        <is>
          <t>Miriam Women's Full Zip Hoodie</t>
        </is>
      </c>
      <c r="D3180" s="1">
        <v>99241</v>
      </c>
      <c r="E3180" s="0" t="inlineStr">
        <is>
          <t>MIRIAM:99241A-S</t>
        </is>
      </c>
      <c r="G3180" s="0" t="inlineStr">
        <is>
          <t>WOMENS</t>
        </is>
      </c>
      <c r="H3180" s="0" t="inlineStr">
        <is>
          <t>S</t>
        </is>
      </c>
      <c r="I3180" s="0">
        <v>49.99</v>
      </c>
      <c r="J3180" s="0">
        <v>45</v>
      </c>
    </row>
    <row r="3181" spans="1:10" customHeight="0">
      <c r="A3181" s="0">
        <f>HYPERLINK("https://dl.dropboxusercontent.com/scl/fi/duz7qjldcq1dzjcb2ez86/miriam.jpg?rlkey=cgyvs44zr3mzbh0uunb1polcr&amp;dl=0","Click to download Image")</f>
      </c>
      <c r="B3181" s="0">
        <f>HYPERLINK("https://dl.dropboxusercontent.com/scl/fi/33dg4mldp2g34ne0pi4s6/ladies-b.jpg?rlkey=9m4iic07nn925fvllugjxhfgj&amp;dl=0","Click to download SizeChart")</f>
      </c>
      <c r="C3181" s="0" t="inlineStr">
        <is>
          <t>Miriam Women's Full Zip Hoodie</t>
        </is>
      </c>
      <c r="D3181" s="1">
        <v>99241</v>
      </c>
      <c r="E3181" s="0" t="inlineStr">
        <is>
          <t>MIRIAM:99241B-M</t>
        </is>
      </c>
      <c r="G3181" s="0" t="inlineStr">
        <is>
          <t>WOMENS</t>
        </is>
      </c>
      <c r="H3181" s="0" t="inlineStr">
        <is>
          <t>M</t>
        </is>
      </c>
      <c r="I3181" s="0">
        <v>49.99</v>
      </c>
      <c r="J3181" s="0">
        <v>34</v>
      </c>
    </row>
    <row r="3182" spans="1:10" customHeight="0">
      <c r="A3182" s="0">
        <f>HYPERLINK("https://dl.dropboxusercontent.com/scl/fi/duz7qjldcq1dzjcb2ez86/miriam.jpg?rlkey=cgyvs44zr3mzbh0uunb1polcr&amp;dl=0","Click to download Image")</f>
      </c>
      <c r="B3182" s="0">
        <f>HYPERLINK("https://dl.dropboxusercontent.com/scl/fi/33dg4mldp2g34ne0pi4s6/ladies-b.jpg?rlkey=9m4iic07nn925fvllugjxhfgj&amp;dl=0","Click to download SizeChart")</f>
      </c>
      <c r="C3182" s="0" t="inlineStr">
        <is>
          <t>Miriam Women's Full Zip Hoodie</t>
        </is>
      </c>
      <c r="D3182" s="1">
        <v>99241</v>
      </c>
      <c r="E3182" s="0" t="inlineStr">
        <is>
          <t>MIRIAM:99241C-L</t>
        </is>
      </c>
      <c r="G3182" s="0" t="inlineStr">
        <is>
          <t>WOMENS</t>
        </is>
      </c>
      <c r="H3182" s="0" t="inlineStr">
        <is>
          <t>L</t>
        </is>
      </c>
      <c r="I3182" s="0">
        <v>49.99</v>
      </c>
      <c r="J3182" s="0">
        <v>43</v>
      </c>
    </row>
    <row r="3183" spans="1:10" customHeight="0">
      <c r="A3183" s="0">
        <f>HYPERLINK("https://dl.dropboxusercontent.com/scl/fi/duz7qjldcq1dzjcb2ez86/miriam.jpg?rlkey=cgyvs44zr3mzbh0uunb1polcr&amp;dl=0","Click to download Image")</f>
      </c>
      <c r="B3183" s="0">
        <f>HYPERLINK("https://dl.dropboxusercontent.com/scl/fi/33dg4mldp2g34ne0pi4s6/ladies-b.jpg?rlkey=9m4iic07nn925fvllugjxhfgj&amp;dl=0","Click to download SizeChart")</f>
      </c>
      <c r="C3183" s="0" t="inlineStr">
        <is>
          <t>Miriam Women's Full Zip Hoodie</t>
        </is>
      </c>
      <c r="D3183" s="1">
        <v>99241</v>
      </c>
      <c r="E3183" s="0" t="inlineStr">
        <is>
          <t>MIRIAM:99241D-XL</t>
        </is>
      </c>
      <c r="G3183" s="0" t="inlineStr">
        <is>
          <t>WOMENS</t>
        </is>
      </c>
      <c r="H3183" s="0" t="inlineStr">
        <is>
          <t>XL</t>
        </is>
      </c>
      <c r="I3183" s="0">
        <v>49.99</v>
      </c>
      <c r="J3183" s="0">
        <v>29</v>
      </c>
    </row>
    <row r="3184" spans="1:10" customHeight="0">
      <c r="A3184" s="0">
        <f>HYPERLINK("https://dl.dropboxusercontent.com/scl/fi/duz7qjldcq1dzjcb2ez86/miriam.jpg?rlkey=cgyvs44zr3mzbh0uunb1polcr&amp;dl=0","Click to download Image")</f>
      </c>
      <c r="B3184" s="0">
        <f>HYPERLINK("https://dl.dropboxusercontent.com/scl/fi/33dg4mldp2g34ne0pi4s6/ladies-b.jpg?rlkey=9m4iic07nn925fvllugjxhfgj&amp;dl=0","Click to download SizeChart")</f>
      </c>
      <c r="C3184" s="0" t="inlineStr">
        <is>
          <t>Miriam Women's Full Zip Hoodie</t>
        </is>
      </c>
      <c r="D3184" s="1">
        <v>99241</v>
      </c>
      <c r="E3184" s="0" t="inlineStr">
        <is>
          <t>MIRIAM:99241E-2XL</t>
        </is>
      </c>
      <c r="G3184" s="0" t="inlineStr">
        <is>
          <t>WOMENS</t>
        </is>
      </c>
      <c r="H3184" s="0" t="inlineStr">
        <is>
          <t>2XL</t>
        </is>
      </c>
      <c r="I3184" s="0">
        <v>51.99</v>
      </c>
      <c r="J3184" s="0">
        <v>48</v>
      </c>
    </row>
    <row r="3185" spans="1:10" customHeight="0">
      <c r="A3185" s="0">
        <f>HYPERLINK("https://dl.dropboxusercontent.com/scl/fi/duz7qjldcq1dzjcb2ez86/miriam.jpg?rlkey=cgyvs44zr3mzbh0uunb1polcr&amp;dl=0","Click to download Image")</f>
      </c>
      <c r="B3185" s="0">
        <f>HYPERLINK("https://dl.dropboxusercontent.com/scl/fi/33dg4mldp2g34ne0pi4s6/ladies-b.jpg?rlkey=9m4iic07nn925fvllugjxhfgj&amp;dl=0","Click to download SizeChart")</f>
      </c>
      <c r="C3185" s="0" t="inlineStr">
        <is>
          <t>Miriam Women's Full Zip Hoodie</t>
        </is>
      </c>
      <c r="D3185" s="1">
        <v>99241</v>
      </c>
      <c r="E3185" s="0" t="inlineStr">
        <is>
          <t>MIRIAM:99241F-3XL</t>
        </is>
      </c>
      <c r="G3185" s="0" t="inlineStr">
        <is>
          <t>WOMENS</t>
        </is>
      </c>
      <c r="H3185" s="0" t="inlineStr">
        <is>
          <t>3XL</t>
        </is>
      </c>
      <c r="I3185" s="0">
        <v>51.99</v>
      </c>
      <c r="J3185" s="0">
        <v>9</v>
      </c>
    </row>
    <row r="3186" spans="1:10" customHeight="0">
      <c r="A3186" s="0">
        <f>HYPERLINK("https://dl.dropboxusercontent.com/scl/fi/4otztq6ws6kf9jdsvgpr8/91787f.jpg?rlkey=mp1w6yj3m6ldn1dvbsynx2fpo&amp;dl=0","Click to download Image")</f>
      </c>
      <c r="C3186" s="0" t="inlineStr">
        <is>
          <t>Ashton Baby Beanies</t>
        </is>
      </c>
      <c r="D3186" s="1">
        <v>91787</v>
      </c>
      <c r="E3186" s="0" t="inlineStr">
        <is>
          <t>ASHTON:91787</t>
        </is>
      </c>
      <c r="G3186" s="0" t="inlineStr">
        <is>
          <t>INFANT</t>
        </is>
      </c>
      <c r="H3186" s="0" t="inlineStr">
        <is>
          <t>INFANT</t>
        </is>
      </c>
      <c r="I3186" s="0">
        <v>9.99</v>
      </c>
      <c r="J3186" s="0">
        <v>132</v>
      </c>
    </row>
    <row r="3187" spans="1:10" customHeight="0">
      <c r="A3187" s="0">
        <f>HYPERLINK("https://dl.dropboxusercontent.com/scl/fi/pp037537f85he72kgztow/91788f46257.jpg?rlkey=9sz35niah5jfptthhaztkdvd1&amp;dl=0","Click to download Image")</f>
      </c>
      <c r="C3187" s="0" t="inlineStr">
        <is>
          <t>Ashton Baby Beanies</t>
        </is>
      </c>
      <c r="D3187" s="1">
        <v>91788</v>
      </c>
      <c r="E3187" s="0" t="inlineStr">
        <is>
          <t>ASHTON:91788</t>
        </is>
      </c>
      <c r="G3187" s="0" t="inlineStr">
        <is>
          <t>INFANT</t>
        </is>
      </c>
      <c r="H3187" s="0" t="inlineStr">
        <is>
          <t>INFANT</t>
        </is>
      </c>
      <c r="I3187" s="0">
        <v>9.99</v>
      </c>
      <c r="J3187" s="0">
        <v>33</v>
      </c>
    </row>
    <row r="3188" spans="1:10" customHeight="0">
      <c r="A3188" s="0">
        <f>HYPERLINK("https://dl.dropboxusercontent.com/scl/fi/f6ji3bncc7bu5aaaiei7q/larissa.jpg?rlkey=vszk884123zkhxrq3bkk71gt0&amp;dl=0","Click to download Image")</f>
      </c>
      <c r="C3188" s="0" t="inlineStr">
        <is>
          <t>Larissa Women's Cap</t>
        </is>
      </c>
      <c r="D3188" s="1">
        <v>99717</v>
      </c>
      <c r="E3188" s="0" t="inlineStr">
        <is>
          <t>LARISSA:99717</t>
        </is>
      </c>
      <c r="F3188" s="2">
        <v>70009971701</v>
      </c>
      <c r="G3188" s="0" t="inlineStr">
        <is>
          <t>WOMENS</t>
        </is>
      </c>
      <c r="H3188" s="0" t="inlineStr">
        <is>
          <t>WOMENS</t>
        </is>
      </c>
      <c r="I3188" s="0">
        <v>20.99</v>
      </c>
      <c r="J3188" s="0">
        <v>3</v>
      </c>
    </row>
    <row r="3189" spans="1:10" customHeight="0">
      <c r="A3189" s="0">
        <f>HYPERLINK("https://dl.dropboxusercontent.com/scl/fi/dbt7gkkdfve0tt4wvawzn/94579af15865.jpg?rlkey=7hp1l9t2jm9hwdrlqaq2kx3rq&amp;dl=0","Click to download Image")</f>
      </c>
      <c r="C3189" s="0" t="inlineStr">
        <is>
          <t>Glitz Girls Hoodie</t>
        </is>
      </c>
      <c r="D3189" s="1">
        <v>94579</v>
      </c>
      <c r="E3189" s="0" t="inlineStr">
        <is>
          <t>GLITZ:94579A-S</t>
        </is>
      </c>
      <c r="F3189" s="2">
        <v>80009457901</v>
      </c>
      <c r="G3189" s="0" t="inlineStr">
        <is>
          <t>YOUTH</t>
        </is>
      </c>
      <c r="H3189" s="0" t="inlineStr">
        <is>
          <t>YS</t>
        </is>
      </c>
      <c r="I3189" s="0">
        <v>39.99</v>
      </c>
      <c r="J3189" s="0">
        <v>35</v>
      </c>
    </row>
    <row r="3190" spans="1:10" customHeight="0">
      <c r="A3190" s="0">
        <f>HYPERLINK("https://dl.dropboxusercontent.com/scl/fi/dbt7gkkdfve0tt4wvawzn/94579af15865.jpg?rlkey=7hp1l9t2jm9hwdrlqaq2kx3rq&amp;dl=0","Click to download Image")</f>
      </c>
      <c r="C3190" s="0" t="inlineStr">
        <is>
          <t>Glitz Girls Hoodie</t>
        </is>
      </c>
      <c r="D3190" s="1">
        <v>94579</v>
      </c>
      <c r="E3190" s="0" t="inlineStr">
        <is>
          <t>GLITZ:94579B-M</t>
        </is>
      </c>
      <c r="F3190" s="2">
        <v>80009457902</v>
      </c>
      <c r="G3190" s="0" t="inlineStr">
        <is>
          <t>YOUTH</t>
        </is>
      </c>
      <c r="H3190" s="0" t="inlineStr">
        <is>
          <t>YM</t>
        </is>
      </c>
      <c r="I3190" s="0">
        <v>39.99</v>
      </c>
      <c r="J3190" s="0">
        <v>31</v>
      </c>
    </row>
    <row r="3191" spans="1:10" customHeight="0">
      <c r="A3191" s="0">
        <f>HYPERLINK("https://dl.dropboxusercontent.com/scl/fi/dbt7gkkdfve0tt4wvawzn/94579af15865.jpg?rlkey=7hp1l9t2jm9hwdrlqaq2kx3rq&amp;dl=0","Click to download Image")</f>
      </c>
      <c r="C3191" s="0" t="inlineStr">
        <is>
          <t>Glitz Girls Hoodie</t>
        </is>
      </c>
      <c r="D3191" s="1">
        <v>94579</v>
      </c>
      <c r="E3191" s="0" t="inlineStr">
        <is>
          <t>GLITZ:94579C-L</t>
        </is>
      </c>
      <c r="F3191" s="2">
        <v>80009457903</v>
      </c>
      <c r="G3191" s="0" t="inlineStr">
        <is>
          <t>YOUTH</t>
        </is>
      </c>
      <c r="H3191" s="0" t="inlineStr">
        <is>
          <t>YL</t>
        </is>
      </c>
      <c r="I3191" s="0">
        <v>39.99</v>
      </c>
      <c r="J3191" s="0">
        <v>35</v>
      </c>
    </row>
    <row r="3192" spans="1:10" customHeight="0">
      <c r="A3192" s="0">
        <f>HYPERLINK("https://dl.dropboxusercontent.com/scl/fi/dbt7gkkdfve0tt4wvawzn/94579af15865.jpg?rlkey=7hp1l9t2jm9hwdrlqaq2kx3rq&amp;dl=0","Click to download Image")</f>
      </c>
      <c r="C3192" s="0" t="inlineStr">
        <is>
          <t>Glitz Girls Hoodie</t>
        </is>
      </c>
      <c r="D3192" s="1">
        <v>94579</v>
      </c>
      <c r="E3192" s="0" t="inlineStr">
        <is>
          <t>GLITZ:94579D-XL</t>
        </is>
      </c>
      <c r="F3192" s="2">
        <v>80009457904</v>
      </c>
      <c r="G3192" s="0" t="inlineStr">
        <is>
          <t>YOUTH</t>
        </is>
      </c>
      <c r="H3192" s="0" t="inlineStr">
        <is>
          <t>YXL</t>
        </is>
      </c>
      <c r="I3192" s="0">
        <v>39.99</v>
      </c>
      <c r="J3192" s="0">
        <v>55</v>
      </c>
    </row>
    <row r="3193" spans="1:10" customHeight="0">
      <c r="A3193" s="0">
        <f>HYPERLINK("https://dl.dropboxusercontent.com/scl/fi/gfi2y8zhds33gkewo22dz/kate.jpg?rlkey=tn8rk3pn1srda3y5e6krhwbd7&amp;dl=0","Click to download Image")</f>
      </c>
      <c r="C3193" s="0" t="inlineStr">
        <is>
          <t>Kate Youth Full Zip Hoodie</t>
        </is>
      </c>
      <c r="D3193" s="1">
        <v>95908</v>
      </c>
      <c r="E3193" s="0" t="inlineStr">
        <is>
          <t>KATE:95908A-S</t>
        </is>
      </c>
      <c r="F3193" s="2">
        <v>80009590801</v>
      </c>
      <c r="G3193" s="0" t="inlineStr">
        <is>
          <t>YOUTH</t>
        </is>
      </c>
      <c r="H3193" s="0" t="inlineStr">
        <is>
          <t>YS</t>
        </is>
      </c>
      <c r="I3193" s="0">
        <v>26.99</v>
      </c>
      <c r="J3193" s="0">
        <v>64</v>
      </c>
    </row>
    <row r="3194" spans="1:10" customHeight="0">
      <c r="A3194" s="0">
        <f>HYPERLINK("https://dl.dropboxusercontent.com/scl/fi/gfi2y8zhds33gkewo22dz/kate.jpg?rlkey=tn8rk3pn1srda3y5e6krhwbd7&amp;dl=0","Click to download Image")</f>
      </c>
      <c r="C3194" s="0" t="inlineStr">
        <is>
          <t>Kate Youth Full Zip Hoodie</t>
        </is>
      </c>
      <c r="D3194" s="1">
        <v>95908</v>
      </c>
      <c r="E3194" s="0" t="inlineStr">
        <is>
          <t>KATE:95908B-M</t>
        </is>
      </c>
      <c r="F3194" s="2">
        <v>80009590802</v>
      </c>
      <c r="G3194" s="0" t="inlineStr">
        <is>
          <t>YOUTH</t>
        </is>
      </c>
      <c r="H3194" s="0" t="inlineStr">
        <is>
          <t>YM</t>
        </is>
      </c>
      <c r="I3194" s="0">
        <v>26.99</v>
      </c>
      <c r="J3194" s="0">
        <v>52</v>
      </c>
    </row>
    <row r="3195" spans="1:10" customHeight="0">
      <c r="A3195" s="0">
        <f>HYPERLINK("https://dl.dropboxusercontent.com/scl/fi/gfi2y8zhds33gkewo22dz/kate.jpg?rlkey=tn8rk3pn1srda3y5e6krhwbd7&amp;dl=0","Click to download Image")</f>
      </c>
      <c r="C3195" s="0" t="inlineStr">
        <is>
          <t>Kate Youth Full Zip Hoodie</t>
        </is>
      </c>
      <c r="D3195" s="1">
        <v>95908</v>
      </c>
      <c r="E3195" s="0" t="inlineStr">
        <is>
          <t>KATE:95908C-L</t>
        </is>
      </c>
      <c r="F3195" s="2">
        <v>80009590803</v>
      </c>
      <c r="G3195" s="0" t="inlineStr">
        <is>
          <t>YOUTH</t>
        </is>
      </c>
      <c r="H3195" s="0" t="inlineStr">
        <is>
          <t>YL</t>
        </is>
      </c>
      <c r="I3195" s="0">
        <v>26.99</v>
      </c>
      <c r="J3195" s="0">
        <v>60</v>
      </c>
    </row>
    <row r="3196" spans="1:10" customHeight="0">
      <c r="A3196" s="0">
        <f>HYPERLINK("https://dl.dropboxusercontent.com/scl/fi/gfi2y8zhds33gkewo22dz/kate.jpg?rlkey=tn8rk3pn1srda3y5e6krhwbd7&amp;dl=0","Click to download Image")</f>
      </c>
      <c r="C3196" s="0" t="inlineStr">
        <is>
          <t>Kate Youth Full Zip Hoodie</t>
        </is>
      </c>
      <c r="D3196" s="1">
        <v>95908</v>
      </c>
      <c r="E3196" s="0" t="inlineStr">
        <is>
          <t>KATE:95908D-XL</t>
        </is>
      </c>
      <c r="F3196" s="2">
        <v>80009590804</v>
      </c>
      <c r="G3196" s="0" t="inlineStr">
        <is>
          <t>YOUTH</t>
        </is>
      </c>
      <c r="H3196" s="0" t="inlineStr">
        <is>
          <t>YXL</t>
        </is>
      </c>
      <c r="I3196" s="0">
        <v>26.99</v>
      </c>
      <c r="J3196" s="0">
        <v>72</v>
      </c>
    </row>
    <row r="3197" spans="1:10" customHeight="0">
      <c r="A3197" s="0">
        <f>HYPERLINK("https://dl.dropboxusercontent.com/scl/fi/fnpt7kvzi3zca1fhm1dyz/checkers.jpg?rlkey=d4wixilbw2gvah3qo1kubm06o&amp;dl=0","Click to download Image")</f>
      </c>
      <c r="C3197" s="0" t="inlineStr">
        <is>
          <t>Checkers Men's Hip Hop Cap</t>
        </is>
      </c>
      <c r="D3197" s="1">
        <v>95062</v>
      </c>
      <c r="E3197" s="0" t="inlineStr">
        <is>
          <t>CHECKERS:95062</t>
        </is>
      </c>
      <c r="G3197" s="0" t="inlineStr">
        <is>
          <t>MENS</t>
        </is>
      </c>
      <c r="H3197" s="0" t="inlineStr">
        <is>
          <t>STANDARD MENS</t>
        </is>
      </c>
      <c r="I3197" s="0">
        <v>18.99</v>
      </c>
      <c r="J3197" s="0">
        <v>54</v>
      </c>
    </row>
    <row r="3198" spans="1:10" customHeight="0">
      <c r="A3198" s="0">
        <f>HYPERLINK("https://dl.dropboxusercontent.com/scl/fi/i3s3cwcte8upouxz89io0/isabella.jpg?rlkey=yc3auaxcoib1pbm21k4oerms5&amp;dl=0","Click to download Image")</f>
      </c>
      <c r="C3198" s="0" t="inlineStr">
        <is>
          <t>Isabella Studio Duffle</t>
        </is>
      </c>
      <c r="D3198" s="1">
        <v>95974</v>
      </c>
      <c r="E3198" s="0" t="inlineStr">
        <is>
          <t>ISABELLA:95974</t>
        </is>
      </c>
      <c r="F3198" s="2">
        <v>90009597401</v>
      </c>
      <c r="I3198" s="0">
        <v>48.99</v>
      </c>
      <c r="J3198" s="0">
        <v>395</v>
      </c>
    </row>
    <row r="3199" spans="1:10" customHeight="0">
      <c r="A3199" s="0">
        <f>HYPERLINK("https://dl.dropboxusercontent.com/scl/fi/s17wi72ffa7x1jtyy7buw/comic.jpg?rlkey=8um1ebfcww2hfnlzinvfcxr4c&amp;dl=0","Click to download Image")</f>
      </c>
      <c r="C3199" s="0" t="inlineStr">
        <is>
          <t>Comic Youth Cap</t>
        </is>
      </c>
      <c r="D3199" s="1">
        <v>92712</v>
      </c>
      <c r="E3199" s="0" t="inlineStr">
        <is>
          <t>COMIC:92712</t>
        </is>
      </c>
      <c r="G3199" s="0" t="inlineStr">
        <is>
          <t>YOUTH</t>
        </is>
      </c>
      <c r="H3199" s="0" t="inlineStr">
        <is>
          <t>YOUTH</t>
        </is>
      </c>
      <c r="I3199" s="0">
        <v>9.99</v>
      </c>
      <c r="J3199" s="0">
        <v>206</v>
      </c>
    </row>
    <row r="3200" spans="1:10" customHeight="0">
      <c r="A3200" s="0">
        <f>HYPERLINK("https://dl.dropboxusercontent.com/scl/fi/y1v9kz2lwvqt3dvvqpt0x/105412-af.jpg?rlkey=44kt3grv4dzzc4zfcenv59qae&amp;dl=0","Click to download Image")</f>
      </c>
      <c r="B3200" s="0">
        <f>HYPERLINK("https://dl.dropboxusercontent.com/scl/fi/ru356u9gy27afvm8wrl3o/graphic-update2022-womens.jpg?rlkey=n84tv2sc15ypp8ieed9jitqrc&amp;dl=0","Click to download SizeChart")</f>
      </c>
      <c r="C3200" s="0" t="inlineStr">
        <is>
          <t>Foster Women's Quarter Zip</t>
        </is>
      </c>
      <c r="D3200" s="1">
        <v>105412</v>
      </c>
      <c r="E3200" s="0" t="inlineStr">
        <is>
          <t>FOSTER:105412A-S</t>
        </is>
      </c>
      <c r="G3200" s="0" t="inlineStr">
        <is>
          <t>WOMENS</t>
        </is>
      </c>
      <c r="H3200" s="0" t="inlineStr">
        <is>
          <t>S</t>
        </is>
      </c>
      <c r="I3200" s="0">
        <v>29.99</v>
      </c>
      <c r="J3200" s="0">
        <v>40</v>
      </c>
    </row>
    <row r="3201" spans="1:10" customHeight="0">
      <c r="A3201" s="0">
        <f>HYPERLINK("https://dl.dropboxusercontent.com/scl/fi/y1v9kz2lwvqt3dvvqpt0x/105412-af.jpg?rlkey=44kt3grv4dzzc4zfcenv59qae&amp;dl=0","Click to download Image")</f>
      </c>
      <c r="B3201" s="0">
        <f>HYPERLINK("https://dl.dropboxusercontent.com/scl/fi/ru356u9gy27afvm8wrl3o/graphic-update2022-womens.jpg?rlkey=n84tv2sc15ypp8ieed9jitqrc&amp;dl=0","Click to download SizeChart")</f>
      </c>
      <c r="C3201" s="0" t="inlineStr">
        <is>
          <t>Foster Women's Quarter Zip</t>
        </is>
      </c>
      <c r="D3201" s="1">
        <v>105412</v>
      </c>
      <c r="E3201" s="0" t="inlineStr">
        <is>
          <t>FOSTER:105412B-M</t>
        </is>
      </c>
      <c r="G3201" s="0" t="inlineStr">
        <is>
          <t>WOMENS</t>
        </is>
      </c>
      <c r="H3201" s="0" t="inlineStr">
        <is>
          <t>M</t>
        </is>
      </c>
      <c r="I3201" s="0">
        <v>29.99</v>
      </c>
      <c r="J3201" s="0">
        <v>23</v>
      </c>
    </row>
    <row r="3202" spans="1:10" customHeight="0">
      <c r="A3202" s="0">
        <f>HYPERLINK("https://dl.dropboxusercontent.com/scl/fi/y1v9kz2lwvqt3dvvqpt0x/105412-af.jpg?rlkey=44kt3grv4dzzc4zfcenv59qae&amp;dl=0","Click to download Image")</f>
      </c>
      <c r="B3202" s="0">
        <f>HYPERLINK("https://dl.dropboxusercontent.com/scl/fi/ru356u9gy27afvm8wrl3o/graphic-update2022-womens.jpg?rlkey=n84tv2sc15ypp8ieed9jitqrc&amp;dl=0","Click to download SizeChart")</f>
      </c>
      <c r="C3202" s="0" t="inlineStr">
        <is>
          <t>Foster Women's Quarter Zip</t>
        </is>
      </c>
      <c r="D3202" s="1">
        <v>105412</v>
      </c>
      <c r="E3202" s="0" t="inlineStr">
        <is>
          <t>FOSTER:105412C-L</t>
        </is>
      </c>
      <c r="G3202" s="0" t="inlineStr">
        <is>
          <t>WOMENS</t>
        </is>
      </c>
      <c r="H3202" s="0" t="inlineStr">
        <is>
          <t>L</t>
        </is>
      </c>
      <c r="I3202" s="0">
        <v>29.99</v>
      </c>
      <c r="J3202" s="0">
        <v>1</v>
      </c>
    </row>
    <row r="3203" spans="1:10" customHeight="0">
      <c r="A3203" s="0">
        <f>HYPERLINK("https://dl.dropboxusercontent.com/scl/fi/y1v9kz2lwvqt3dvvqpt0x/105412-af.jpg?rlkey=44kt3grv4dzzc4zfcenv59qae&amp;dl=0","Click to download Image")</f>
      </c>
      <c r="B3203" s="0">
        <f>HYPERLINK("https://dl.dropboxusercontent.com/scl/fi/ru356u9gy27afvm8wrl3o/graphic-update2022-womens.jpg?rlkey=n84tv2sc15ypp8ieed9jitqrc&amp;dl=0","Click to download SizeChart")</f>
      </c>
      <c r="C3203" s="0" t="inlineStr">
        <is>
          <t>Foster Women's Quarter Zip</t>
        </is>
      </c>
      <c r="D3203" s="1">
        <v>105412</v>
      </c>
      <c r="E3203" s="0" t="inlineStr">
        <is>
          <t>FOSTER:105412D-XL</t>
        </is>
      </c>
      <c r="G3203" s="0" t="inlineStr">
        <is>
          <t>WOMENS</t>
        </is>
      </c>
      <c r="H3203" s="0" t="inlineStr">
        <is>
          <t>XL</t>
        </is>
      </c>
      <c r="I3203" s="0">
        <v>29.99</v>
      </c>
      <c r="J3203" s="0">
        <v>12</v>
      </c>
    </row>
    <row r="3204" spans="1:10" customHeight="0">
      <c r="A3204" s="0">
        <f>HYPERLINK("https://dl.dropboxusercontent.com/scl/fi/y1v9kz2lwvqt3dvvqpt0x/105412-af.jpg?rlkey=44kt3grv4dzzc4zfcenv59qae&amp;dl=0","Click to download Image")</f>
      </c>
      <c r="B3204" s="0">
        <f>HYPERLINK("https://dl.dropboxusercontent.com/scl/fi/ru356u9gy27afvm8wrl3o/graphic-update2022-womens.jpg?rlkey=n84tv2sc15ypp8ieed9jitqrc&amp;dl=0","Click to download SizeChart")</f>
      </c>
      <c r="C3204" s="0" t="inlineStr">
        <is>
          <t>Foster Women's Quarter Zip</t>
        </is>
      </c>
      <c r="D3204" s="1">
        <v>105412</v>
      </c>
      <c r="E3204" s="0" t="inlineStr">
        <is>
          <t>FOSTER:105412E-2XL</t>
        </is>
      </c>
      <c r="G3204" s="0" t="inlineStr">
        <is>
          <t>WOMENS</t>
        </is>
      </c>
      <c r="H3204" s="0" t="inlineStr">
        <is>
          <t>2XL</t>
        </is>
      </c>
      <c r="I3204" s="0">
        <v>31.99</v>
      </c>
      <c r="J3204" s="0">
        <v>31</v>
      </c>
    </row>
    <row r="3205" spans="1:10" customHeight="0">
      <c r="A3205" s="0">
        <f>HYPERLINK("https://dl.dropboxusercontent.com/scl/fi/y1v9kz2lwvqt3dvvqpt0x/105412-af.jpg?rlkey=44kt3grv4dzzc4zfcenv59qae&amp;dl=0","Click to download Image")</f>
      </c>
      <c r="B3205" s="0">
        <f>HYPERLINK("https://dl.dropboxusercontent.com/scl/fi/ru356u9gy27afvm8wrl3o/graphic-update2022-womens.jpg?rlkey=n84tv2sc15ypp8ieed9jitqrc&amp;dl=0","Click to download SizeChart")</f>
      </c>
      <c r="C3205" s="0" t="inlineStr">
        <is>
          <t>Foster Women's Quarter Zip</t>
        </is>
      </c>
      <c r="D3205" s="1">
        <v>105412</v>
      </c>
      <c r="E3205" s="0" t="inlineStr">
        <is>
          <t>FOSTER:105412F-3XL</t>
        </is>
      </c>
      <c r="G3205" s="0" t="inlineStr">
        <is>
          <t>WOMENS</t>
        </is>
      </c>
      <c r="H3205" s="0" t="inlineStr">
        <is>
          <t>3XL</t>
        </is>
      </c>
      <c r="I3205" s="0">
        <v>31.99</v>
      </c>
      <c r="J3205" s="0">
        <v>4</v>
      </c>
    </row>
    <row r="3206" spans="1:10" customHeight="0">
      <c r="A3206" s="0">
        <f>HYPERLINK("https://dl.dropboxusercontent.com/scl/fi/oc0zwy0f2q0tcppqr1z23/105411-af.jpg?rlkey=4hwnijuhve9vwhj0cpgplfrjw&amp;dl=0","Click to download Image")</f>
      </c>
      <c r="B3206" s="0">
        <f>HYPERLINK("https://dl.dropboxusercontent.com/scl/fi/dcssfy2p2wuqb2f2jrr1l/graphic-update2022-mens.jpg?rlkey=fr2delk7fra1tmaeokp1cwvlp&amp;dl=0","Click to download SizeChart")</f>
      </c>
      <c r="C3206" s="0" t="inlineStr">
        <is>
          <t>Foster Men's Quarter Zip</t>
        </is>
      </c>
      <c r="D3206" s="1">
        <v>105411</v>
      </c>
      <c r="E3206" s="0" t="inlineStr">
        <is>
          <t>FOSTER:105411A-S</t>
        </is>
      </c>
      <c r="G3206" s="0" t="inlineStr">
        <is>
          <t>MENS</t>
        </is>
      </c>
      <c r="H3206" s="0" t="inlineStr">
        <is>
          <t>S</t>
        </is>
      </c>
      <c r="I3206" s="0">
        <v>29.99</v>
      </c>
      <c r="J3206" s="0">
        <v>33</v>
      </c>
    </row>
    <row r="3207" spans="1:10" customHeight="0">
      <c r="A3207" s="0">
        <f>HYPERLINK("https://dl.dropboxusercontent.com/scl/fi/oc0zwy0f2q0tcppqr1z23/105411-af.jpg?rlkey=4hwnijuhve9vwhj0cpgplfrjw&amp;dl=0","Click to download Image")</f>
      </c>
      <c r="B3207" s="0">
        <f>HYPERLINK("https://dl.dropboxusercontent.com/scl/fi/dcssfy2p2wuqb2f2jrr1l/graphic-update2022-mens.jpg?rlkey=fr2delk7fra1tmaeokp1cwvlp&amp;dl=0","Click to download SizeChart")</f>
      </c>
      <c r="C3207" s="0" t="inlineStr">
        <is>
          <t>Foster Men's Quarter Zip</t>
        </is>
      </c>
      <c r="D3207" s="1">
        <v>105411</v>
      </c>
      <c r="E3207" s="0" t="inlineStr">
        <is>
          <t>FOSTER:105411B-M</t>
        </is>
      </c>
      <c r="G3207" s="0" t="inlineStr">
        <is>
          <t>MENS</t>
        </is>
      </c>
      <c r="H3207" s="0" t="inlineStr">
        <is>
          <t>M</t>
        </is>
      </c>
      <c r="I3207" s="0">
        <v>29.99</v>
      </c>
      <c r="J3207" s="0">
        <v>15</v>
      </c>
    </row>
    <row r="3208" spans="1:10" customHeight="0">
      <c r="A3208" s="0">
        <f>HYPERLINK("https://dl.dropboxusercontent.com/scl/fi/oc0zwy0f2q0tcppqr1z23/105411-af.jpg?rlkey=4hwnijuhve9vwhj0cpgplfrjw&amp;dl=0","Click to download Image")</f>
      </c>
      <c r="B3208" s="0">
        <f>HYPERLINK("https://dl.dropboxusercontent.com/scl/fi/dcssfy2p2wuqb2f2jrr1l/graphic-update2022-mens.jpg?rlkey=fr2delk7fra1tmaeokp1cwvlp&amp;dl=0","Click to download SizeChart")</f>
      </c>
      <c r="C3208" s="0" t="inlineStr">
        <is>
          <t>Foster Men's Quarter Zip</t>
        </is>
      </c>
      <c r="D3208" s="1">
        <v>105411</v>
      </c>
      <c r="E3208" s="0" t="inlineStr">
        <is>
          <t>FOSTER:105411C-L</t>
        </is>
      </c>
      <c r="G3208" s="0" t="inlineStr">
        <is>
          <t>MENS</t>
        </is>
      </c>
      <c r="H3208" s="0" t="inlineStr">
        <is>
          <t>L</t>
        </is>
      </c>
      <c r="I3208" s="0">
        <v>29.99</v>
      </c>
      <c r="J3208" s="0">
        <v>11</v>
      </c>
    </row>
    <row r="3209" spans="1:10" customHeight="0">
      <c r="A3209" s="0">
        <f>HYPERLINK("https://dl.dropboxusercontent.com/scl/fi/oc0zwy0f2q0tcppqr1z23/105411-af.jpg?rlkey=4hwnijuhve9vwhj0cpgplfrjw&amp;dl=0","Click to download Image")</f>
      </c>
      <c r="B3209" s="0">
        <f>HYPERLINK("https://dl.dropboxusercontent.com/scl/fi/dcssfy2p2wuqb2f2jrr1l/graphic-update2022-mens.jpg?rlkey=fr2delk7fra1tmaeokp1cwvlp&amp;dl=0","Click to download SizeChart")</f>
      </c>
      <c r="C3209" s="0" t="inlineStr">
        <is>
          <t>Foster Men's Quarter Zip</t>
        </is>
      </c>
      <c r="D3209" s="1">
        <v>105411</v>
      </c>
      <c r="E3209" s="0" t="inlineStr">
        <is>
          <t>FOSTER:105411D-XL</t>
        </is>
      </c>
      <c r="G3209" s="0" t="inlineStr">
        <is>
          <t>MENS</t>
        </is>
      </c>
      <c r="H3209" s="0" t="inlineStr">
        <is>
          <t>XL</t>
        </is>
      </c>
      <c r="I3209" s="0">
        <v>29.99</v>
      </c>
      <c r="J3209" s="0">
        <v>0</v>
      </c>
    </row>
    <row r="3210" spans="1:10" customHeight="0">
      <c r="A3210" s="0">
        <f>HYPERLINK("https://dl.dropboxusercontent.com/scl/fi/oc0zwy0f2q0tcppqr1z23/105411-af.jpg?rlkey=4hwnijuhve9vwhj0cpgplfrjw&amp;dl=0","Click to download Image")</f>
      </c>
      <c r="B3210" s="0">
        <f>HYPERLINK("https://dl.dropboxusercontent.com/scl/fi/dcssfy2p2wuqb2f2jrr1l/graphic-update2022-mens.jpg?rlkey=fr2delk7fra1tmaeokp1cwvlp&amp;dl=0","Click to download SizeChart")</f>
      </c>
      <c r="C3210" s="0" t="inlineStr">
        <is>
          <t>Foster Men's Quarter Zip</t>
        </is>
      </c>
      <c r="D3210" s="1">
        <v>105411</v>
      </c>
      <c r="E3210" s="0" t="inlineStr">
        <is>
          <t>FOSTER:105411E-2XL</t>
        </is>
      </c>
      <c r="G3210" s="0" t="inlineStr">
        <is>
          <t>MENS</t>
        </is>
      </c>
      <c r="H3210" s="0" t="inlineStr">
        <is>
          <t>2XL</t>
        </is>
      </c>
      <c r="I3210" s="0">
        <v>31.99</v>
      </c>
      <c r="J3210" s="0">
        <v>0</v>
      </c>
    </row>
    <row r="3211" spans="1:10" customHeight="0">
      <c r="A3211" s="0">
        <f>HYPERLINK("https://dl.dropboxusercontent.com/scl/fi/oc0zwy0f2q0tcppqr1z23/105411-af.jpg?rlkey=4hwnijuhve9vwhj0cpgplfrjw&amp;dl=0","Click to download Image")</f>
      </c>
      <c r="B3211" s="0">
        <f>HYPERLINK("https://dl.dropboxusercontent.com/scl/fi/dcssfy2p2wuqb2f2jrr1l/graphic-update2022-mens.jpg?rlkey=fr2delk7fra1tmaeokp1cwvlp&amp;dl=0","Click to download SizeChart")</f>
      </c>
      <c r="C3211" s="0" t="inlineStr">
        <is>
          <t>Foster Men's Quarter Zip</t>
        </is>
      </c>
      <c r="D3211" s="1">
        <v>105411</v>
      </c>
      <c r="E3211" s="0" t="inlineStr">
        <is>
          <t>FOSTER:105411F-3XL</t>
        </is>
      </c>
      <c r="G3211" s="0" t="inlineStr">
        <is>
          <t>MENS</t>
        </is>
      </c>
      <c r="H3211" s="0" t="inlineStr">
        <is>
          <t>3XL</t>
        </is>
      </c>
      <c r="I3211" s="0">
        <v>31.99</v>
      </c>
      <c r="J3211" s="0">
        <v>6</v>
      </c>
    </row>
    <row r="3212" spans="1:10" customHeight="0">
      <c r="A3212" s="0">
        <f>HYPERLINK("https://dl.dropboxusercontent.com/scl/fi/84y4uq1j4g022o2rnuyad/105586-af.jpg?rlkey=pxnosayo2n8t24wukbyd1rkwp&amp;dl=0","Click to download Image")</f>
      </c>
      <c r="B3212" s="0">
        <f>HYPERLINK("https://dl.dropboxusercontent.com/scl/fi/fqbsohi9tlwoapvo9g47m/womens-t-shirt-size-chartskylie.jpg?rlkey=qlz05la37lk1avz40xq0b2k9i&amp;dl=0","Click to download SizeChart")</f>
      </c>
      <c r="C3212" s="0" t="inlineStr">
        <is>
          <t>Kylie Women's Long Sleeve</t>
        </is>
      </c>
      <c r="D3212" s="1">
        <v>105586</v>
      </c>
      <c r="E3212" s="0" t="inlineStr">
        <is>
          <t>KYLIE:105586A-S</t>
        </is>
      </c>
      <c r="G3212" s="0" t="inlineStr">
        <is>
          <t>WOMENS</t>
        </is>
      </c>
      <c r="H3212" s="0" t="inlineStr">
        <is>
          <t>S</t>
        </is>
      </c>
      <c r="I3212" s="0">
        <v>29.99</v>
      </c>
      <c r="J3212" s="0">
        <v>40</v>
      </c>
    </row>
    <row r="3213" spans="1:10" customHeight="0">
      <c r="A3213" s="0">
        <f>HYPERLINK("https://dl.dropboxusercontent.com/scl/fi/84y4uq1j4g022o2rnuyad/105586-af.jpg?rlkey=pxnosayo2n8t24wukbyd1rkwp&amp;dl=0","Click to download Image")</f>
      </c>
      <c r="B3213" s="0">
        <f>HYPERLINK("https://dl.dropboxusercontent.com/scl/fi/fqbsohi9tlwoapvo9g47m/womens-t-shirt-size-chartskylie.jpg?rlkey=qlz05la37lk1avz40xq0b2k9i&amp;dl=0","Click to download SizeChart")</f>
      </c>
      <c r="C3213" s="0" t="inlineStr">
        <is>
          <t>Kylie Women's Long Sleeve</t>
        </is>
      </c>
      <c r="D3213" s="1">
        <v>105586</v>
      </c>
      <c r="E3213" s="0" t="inlineStr">
        <is>
          <t>KYLIE:105586B-M</t>
        </is>
      </c>
      <c r="G3213" s="0" t="inlineStr">
        <is>
          <t>WOMENS</t>
        </is>
      </c>
      <c r="H3213" s="0" t="inlineStr">
        <is>
          <t>M</t>
        </is>
      </c>
      <c r="I3213" s="0">
        <v>29.99</v>
      </c>
      <c r="J3213" s="0">
        <v>17</v>
      </c>
    </row>
    <row r="3214" spans="1:10" customHeight="0">
      <c r="A3214" s="0">
        <f>HYPERLINK("https://dl.dropboxusercontent.com/scl/fi/84y4uq1j4g022o2rnuyad/105586-af.jpg?rlkey=pxnosayo2n8t24wukbyd1rkwp&amp;dl=0","Click to download Image")</f>
      </c>
      <c r="B3214" s="0">
        <f>HYPERLINK("https://dl.dropboxusercontent.com/scl/fi/fqbsohi9tlwoapvo9g47m/womens-t-shirt-size-chartskylie.jpg?rlkey=qlz05la37lk1avz40xq0b2k9i&amp;dl=0","Click to download SizeChart")</f>
      </c>
      <c r="C3214" s="0" t="inlineStr">
        <is>
          <t>Kylie Women's Long Sleeve</t>
        </is>
      </c>
      <c r="D3214" s="1">
        <v>105586</v>
      </c>
      <c r="E3214" s="0" t="inlineStr">
        <is>
          <t>KYLIE:105586C-L</t>
        </is>
      </c>
      <c r="G3214" s="0" t="inlineStr">
        <is>
          <t>WOMENS</t>
        </is>
      </c>
      <c r="H3214" s="0" t="inlineStr">
        <is>
          <t>L</t>
        </is>
      </c>
      <c r="I3214" s="0">
        <v>29.99</v>
      </c>
      <c r="J3214" s="0">
        <v>0</v>
      </c>
    </row>
    <row r="3215" spans="1:10" customHeight="0">
      <c r="A3215" s="0">
        <f>HYPERLINK("https://dl.dropboxusercontent.com/scl/fi/84y4uq1j4g022o2rnuyad/105586-af.jpg?rlkey=pxnosayo2n8t24wukbyd1rkwp&amp;dl=0","Click to download Image")</f>
      </c>
      <c r="B3215" s="0">
        <f>HYPERLINK("https://dl.dropboxusercontent.com/scl/fi/fqbsohi9tlwoapvo9g47m/womens-t-shirt-size-chartskylie.jpg?rlkey=qlz05la37lk1avz40xq0b2k9i&amp;dl=0","Click to download SizeChart")</f>
      </c>
      <c r="C3215" s="0" t="inlineStr">
        <is>
          <t>Kylie Women's Long Sleeve</t>
        </is>
      </c>
      <c r="D3215" s="1">
        <v>105586</v>
      </c>
      <c r="E3215" s="0" t="inlineStr">
        <is>
          <t>KYLIE:105586D-XL</t>
        </is>
      </c>
      <c r="G3215" s="0" t="inlineStr">
        <is>
          <t>WOMENS</t>
        </is>
      </c>
      <c r="H3215" s="0" t="inlineStr">
        <is>
          <t>XL</t>
        </is>
      </c>
      <c r="I3215" s="0">
        <v>29.99</v>
      </c>
      <c r="J3215" s="0">
        <v>0</v>
      </c>
    </row>
    <row r="3216" spans="1:10" customHeight="0">
      <c r="A3216" s="0">
        <f>HYPERLINK("https://dl.dropboxusercontent.com/scl/fi/84y4uq1j4g022o2rnuyad/105586-af.jpg?rlkey=pxnosayo2n8t24wukbyd1rkwp&amp;dl=0","Click to download Image")</f>
      </c>
      <c r="B3216" s="0">
        <f>HYPERLINK("https://dl.dropboxusercontent.com/scl/fi/fqbsohi9tlwoapvo9g47m/womens-t-shirt-size-chartskylie.jpg?rlkey=qlz05la37lk1avz40xq0b2k9i&amp;dl=0","Click to download SizeChart")</f>
      </c>
      <c r="C3216" s="0" t="inlineStr">
        <is>
          <t>Kylie Women's Long Sleeve</t>
        </is>
      </c>
      <c r="D3216" s="1">
        <v>105586</v>
      </c>
      <c r="E3216" s="0" t="inlineStr">
        <is>
          <t>KYLIE:105586E-2XL</t>
        </is>
      </c>
      <c r="G3216" s="0" t="inlineStr">
        <is>
          <t>WOMENS</t>
        </is>
      </c>
      <c r="H3216" s="0" t="inlineStr">
        <is>
          <t>2XL</t>
        </is>
      </c>
      <c r="I3216" s="0">
        <v>31.99</v>
      </c>
      <c r="J3216" s="0">
        <v>28</v>
      </c>
    </row>
    <row r="3217" spans="1:10" customHeight="0">
      <c r="A3217" s="0">
        <f>HYPERLINK("https://dl.dropboxusercontent.com/scl/fi/84y4uq1j4g022o2rnuyad/105586-af.jpg?rlkey=pxnosayo2n8t24wukbyd1rkwp&amp;dl=0","Click to download Image")</f>
      </c>
      <c r="B3217" s="0">
        <f>HYPERLINK("https://dl.dropboxusercontent.com/scl/fi/fqbsohi9tlwoapvo9g47m/womens-t-shirt-size-chartskylie.jpg?rlkey=qlz05la37lk1avz40xq0b2k9i&amp;dl=0","Click to download SizeChart")</f>
      </c>
      <c r="C3217" s="0" t="inlineStr">
        <is>
          <t>Kylie Women's Long Sleeve</t>
        </is>
      </c>
      <c r="D3217" s="1">
        <v>105586</v>
      </c>
      <c r="E3217" s="0" t="inlineStr">
        <is>
          <t>KYLIE:105586F-3XL</t>
        </is>
      </c>
      <c r="G3217" s="0" t="inlineStr">
        <is>
          <t>WOMENS</t>
        </is>
      </c>
      <c r="H3217" s="0" t="inlineStr">
        <is>
          <t>3XL</t>
        </is>
      </c>
      <c r="I3217" s="0">
        <v>31.99</v>
      </c>
      <c r="J3217" s="0">
        <v>3</v>
      </c>
    </row>
    <row r="3218" spans="1:10" customHeight="0">
      <c r="A3218" s="0">
        <f>HYPERLINK("https://dl.dropboxusercontent.com/scl/fi/tq1327007wy5vjryun9xv/99307-af.jpg?rlkey=vcf2wbtl1a36rf2i9op01cwl5&amp;dl=0","Click to download Image")</f>
      </c>
      <c r="C3218" s="0" t="inlineStr">
        <is>
          <t>Elijah Men's Stretch Fit Cap</t>
        </is>
      </c>
      <c r="D3218" s="1">
        <v>99307</v>
      </c>
      <c r="E3218" s="0" t="inlineStr">
        <is>
          <t>ELIJAH:99307A</t>
        </is>
      </c>
      <c r="G3218" s="0" t="inlineStr">
        <is>
          <t>MENS</t>
        </is>
      </c>
      <c r="H3218" s="0" t="inlineStr">
        <is>
          <t>STANDARD MENS</t>
        </is>
      </c>
      <c r="I3218" s="0">
        <v>20.99</v>
      </c>
      <c r="J3218" s="0">
        <v>94</v>
      </c>
    </row>
    <row r="3219" spans="1:10" customHeight="0">
      <c r="A3219" s="0">
        <f>HYPERLINK("https://dl.dropboxusercontent.com/scl/fi/tq1327007wy5vjryun9xv/99307-af.jpg?rlkey=vcf2wbtl1a36rf2i9op01cwl5&amp;dl=0","Click to download Image")</f>
      </c>
      <c r="C3219" s="0" t="inlineStr">
        <is>
          <t>Elijah Men's Stretch Fit Cap</t>
        </is>
      </c>
      <c r="D3219" s="1">
        <v>99307</v>
      </c>
      <c r="E3219" s="0" t="inlineStr">
        <is>
          <t>ELIJAH:99307B</t>
        </is>
      </c>
      <c r="G3219" s="0" t="inlineStr">
        <is>
          <t>MENS</t>
        </is>
      </c>
      <c r="H3219" s="0" t="inlineStr">
        <is>
          <t>MENS XL</t>
        </is>
      </c>
      <c r="I3219" s="0">
        <v>20.99</v>
      </c>
      <c r="J3219" s="0">
        <v>109</v>
      </c>
    </row>
    <row r="3220" spans="1:10" customHeight="0">
      <c r="A3220" s="0">
        <f>HYPERLINK("https://dl.dropboxusercontent.com/scl/fi/csebqupvj71uvpespoyh8/101536-af.jpg?rlkey=r5ufmbd85i4wzl2dmyqklysyj&amp;dl=0","Click to download Image")</f>
      </c>
      <c r="C3220" s="0" t="inlineStr">
        <is>
          <t>Gus Men's Performance Cap</t>
        </is>
      </c>
      <c r="D3220" s="1">
        <v>101536</v>
      </c>
      <c r="E3220" s="0" t="inlineStr">
        <is>
          <t>GUS:101536</t>
        </is>
      </c>
      <c r="G3220" s="0" t="inlineStr">
        <is>
          <t>MENS</t>
        </is>
      </c>
      <c r="H3220" s="0" t="inlineStr">
        <is>
          <t>STANDARD MENS</t>
        </is>
      </c>
      <c r="I3220" s="0">
        <v>22.99</v>
      </c>
      <c r="J3220" s="0">
        <v>161</v>
      </c>
    </row>
    <row r="3221" spans="1:10" customHeight="0">
      <c r="A3221" s="0">
        <f>HYPERLINK("https://dl.dropboxusercontent.com/scl/fi/9n8ye40tmpr62ogxwhkgw/98092af.jpg?rlkey=0upwwmtkcvo74q4488lavxpby&amp;dl=0","Click to download Image")</f>
      </c>
      <c r="C3221" s="0" t="inlineStr">
        <is>
          <t>Cohen Toddler Cap</t>
        </is>
      </c>
      <c r="D3221" s="1">
        <v>98857</v>
      </c>
      <c r="E3221" s="0" t="inlineStr">
        <is>
          <t>COHEN:98857</t>
        </is>
      </c>
      <c r="G3221" s="0" t="inlineStr">
        <is>
          <t>TODDLER</t>
        </is>
      </c>
      <c r="H3221" s="0" t="inlineStr">
        <is>
          <t>TODDLER</t>
        </is>
      </c>
      <c r="I3221" s="0">
        <v>23.99</v>
      </c>
      <c r="J3221" s="0">
        <v>68</v>
      </c>
    </row>
    <row r="3222" spans="1:10" customHeight="0">
      <c r="A3222" s="0">
        <f>HYPERLINK("https://dl.dropboxusercontent.com/scl/fi/hpaibyb0wymle044v2qbb/99189af.jpg?rlkey=aqn9phyd2se06l7u5rrt0r2lh&amp;dl=0","Click to download Image")</f>
      </c>
      <c r="C3222" s="0" t="inlineStr">
        <is>
          <t>Betsy Women's Windbreaker</t>
        </is>
      </c>
      <c r="D3222" s="1">
        <v>99189</v>
      </c>
      <c r="E3222" s="0" t="inlineStr">
        <is>
          <t>BETSY:99189A-S</t>
        </is>
      </c>
      <c r="G3222" s="0" t="inlineStr">
        <is>
          <t>WOMENS</t>
        </is>
      </c>
      <c r="H3222" s="0" t="inlineStr">
        <is>
          <t>S</t>
        </is>
      </c>
      <c r="I3222" s="0">
        <v>44.99</v>
      </c>
      <c r="J3222" s="0">
        <v>57</v>
      </c>
    </row>
    <row r="3223" spans="1:10" customHeight="0">
      <c r="A3223" s="0">
        <f>HYPERLINK("https://dl.dropboxusercontent.com/scl/fi/hpaibyb0wymle044v2qbb/99189af.jpg?rlkey=aqn9phyd2se06l7u5rrt0r2lh&amp;dl=0","Click to download Image")</f>
      </c>
      <c r="C3223" s="0" t="inlineStr">
        <is>
          <t>Betsy Women's Windbreaker</t>
        </is>
      </c>
      <c r="D3223" s="1">
        <v>99189</v>
      </c>
      <c r="E3223" s="0" t="inlineStr">
        <is>
          <t>BETSY:99189B-M</t>
        </is>
      </c>
      <c r="G3223" s="0" t="inlineStr">
        <is>
          <t>WOMENS</t>
        </is>
      </c>
      <c r="H3223" s="0" t="inlineStr">
        <is>
          <t>M</t>
        </is>
      </c>
      <c r="I3223" s="0">
        <v>44.99</v>
      </c>
      <c r="J3223" s="0">
        <v>49</v>
      </c>
    </row>
    <row r="3224" spans="1:10" customHeight="0">
      <c r="A3224" s="0">
        <f>HYPERLINK("https://dl.dropboxusercontent.com/scl/fi/hpaibyb0wymle044v2qbb/99189af.jpg?rlkey=aqn9phyd2se06l7u5rrt0r2lh&amp;dl=0","Click to download Image")</f>
      </c>
      <c r="C3224" s="0" t="inlineStr">
        <is>
          <t>Betsy Women's Windbreaker</t>
        </is>
      </c>
      <c r="D3224" s="1">
        <v>99189</v>
      </c>
      <c r="E3224" s="0" t="inlineStr">
        <is>
          <t>BETSY:99189C-L</t>
        </is>
      </c>
      <c r="G3224" s="0" t="inlineStr">
        <is>
          <t>WOMENS</t>
        </is>
      </c>
      <c r="H3224" s="0" t="inlineStr">
        <is>
          <t>L</t>
        </is>
      </c>
      <c r="I3224" s="0">
        <v>44.99</v>
      </c>
      <c r="J3224" s="0">
        <v>41</v>
      </c>
    </row>
    <row r="3225" spans="1:10" customHeight="0">
      <c r="A3225" s="0">
        <f>HYPERLINK("https://dl.dropboxusercontent.com/scl/fi/hpaibyb0wymle044v2qbb/99189af.jpg?rlkey=aqn9phyd2se06l7u5rrt0r2lh&amp;dl=0","Click to download Image")</f>
      </c>
      <c r="C3225" s="0" t="inlineStr">
        <is>
          <t>Betsy Women's Windbreaker</t>
        </is>
      </c>
      <c r="D3225" s="1">
        <v>99189</v>
      </c>
      <c r="E3225" s="0" t="inlineStr">
        <is>
          <t>BETSY:99189D-XL</t>
        </is>
      </c>
      <c r="G3225" s="0" t="inlineStr">
        <is>
          <t>WOMENS</t>
        </is>
      </c>
      <c r="H3225" s="0" t="inlineStr">
        <is>
          <t>XL</t>
        </is>
      </c>
      <c r="I3225" s="0">
        <v>44.99</v>
      </c>
      <c r="J3225" s="0">
        <v>34</v>
      </c>
    </row>
    <row r="3226" spans="1:10" customHeight="0">
      <c r="A3226" s="0">
        <f>HYPERLINK("https://dl.dropboxusercontent.com/scl/fi/hpaibyb0wymle044v2qbb/99189af.jpg?rlkey=aqn9phyd2se06l7u5rrt0r2lh&amp;dl=0","Click to download Image")</f>
      </c>
      <c r="C3226" s="0" t="inlineStr">
        <is>
          <t>Betsy Women's Windbreaker</t>
        </is>
      </c>
      <c r="D3226" s="1">
        <v>99189</v>
      </c>
      <c r="E3226" s="0" t="inlineStr">
        <is>
          <t>BETSY:99189E-2XL</t>
        </is>
      </c>
      <c r="G3226" s="0" t="inlineStr">
        <is>
          <t>WOMENS</t>
        </is>
      </c>
      <c r="H3226" s="0" t="inlineStr">
        <is>
          <t>2XL</t>
        </is>
      </c>
      <c r="I3226" s="0">
        <v>44.99</v>
      </c>
      <c r="J3226" s="0">
        <v>26</v>
      </c>
    </row>
    <row r="3227" spans="1:10" customHeight="0">
      <c r="A3227" s="0">
        <f>HYPERLINK("https://dl.dropboxusercontent.com/scl/fi/hpaibyb0wymle044v2qbb/99189af.jpg?rlkey=aqn9phyd2se06l7u5rrt0r2lh&amp;dl=0","Click to download Image")</f>
      </c>
      <c r="C3227" s="0" t="inlineStr">
        <is>
          <t>Betsy Women's Windbreaker</t>
        </is>
      </c>
      <c r="D3227" s="1">
        <v>99189</v>
      </c>
      <c r="E3227" s="0" t="inlineStr">
        <is>
          <t>BETSY:99189F-3XL</t>
        </is>
      </c>
      <c r="G3227" s="0" t="inlineStr">
        <is>
          <t>WOMENS</t>
        </is>
      </c>
      <c r="H3227" s="0" t="inlineStr">
        <is>
          <t>3XL</t>
        </is>
      </c>
      <c r="I3227" s="0">
        <v>44.99</v>
      </c>
      <c r="J3227" s="0">
        <v>0</v>
      </c>
    </row>
    <row r="3228" spans="1:10" customHeight="0">
      <c r="A3228" s="0">
        <f>HYPERLINK("https://dl.dropboxusercontent.com/scl/fi/xsqaig3hr7s00lo1y43u3/98250af.jpg?rlkey=q9jpbpbxbtl3gikq9zofnhvss&amp;dl=0","Click to download Image")</f>
      </c>
      <c r="B3228" s="0">
        <f>HYPERLINK("https://dl.dropboxusercontent.com/scl/fi/7pjy5x4hfh8gdnzphgj8s/graphic-update2022-womens.jpg?rlkey=r7ytlhwrqwzny89j07gq99jly&amp;dl=0","Click to download SizeChart")</f>
      </c>
      <c r="C3228" s="0" t="inlineStr">
        <is>
          <t>Ivy Women's Full Zip Hoodie</t>
        </is>
      </c>
      <c r="D3228" s="1">
        <v>98250</v>
      </c>
      <c r="E3228" s="0" t="inlineStr">
        <is>
          <t>IVY:98250A-S</t>
        </is>
      </c>
      <c r="G3228" s="0" t="inlineStr">
        <is>
          <t>WOMENS</t>
        </is>
      </c>
      <c r="H3228" s="0" t="inlineStr">
        <is>
          <t>S</t>
        </is>
      </c>
      <c r="I3228" s="0">
        <v>69.99</v>
      </c>
      <c r="J3228" s="0">
        <v>60</v>
      </c>
    </row>
    <row r="3229" spans="1:10" customHeight="0">
      <c r="A3229" s="0">
        <f>HYPERLINK("https://dl.dropboxusercontent.com/scl/fi/xsqaig3hr7s00lo1y43u3/98250af.jpg?rlkey=q9jpbpbxbtl3gikq9zofnhvss&amp;dl=0","Click to download Image")</f>
      </c>
      <c r="B3229" s="0">
        <f>HYPERLINK("https://dl.dropboxusercontent.com/scl/fi/7pjy5x4hfh8gdnzphgj8s/graphic-update2022-womens.jpg?rlkey=r7ytlhwrqwzny89j07gq99jly&amp;dl=0","Click to download SizeChart")</f>
      </c>
      <c r="C3229" s="0" t="inlineStr">
        <is>
          <t>Ivy Women's Full Zip Hoodie</t>
        </is>
      </c>
      <c r="D3229" s="1">
        <v>98250</v>
      </c>
      <c r="E3229" s="0" t="inlineStr">
        <is>
          <t>IVY:98250B-M</t>
        </is>
      </c>
      <c r="G3229" s="0" t="inlineStr">
        <is>
          <t>WOMENS</t>
        </is>
      </c>
      <c r="H3229" s="0" t="inlineStr">
        <is>
          <t>M</t>
        </is>
      </c>
      <c r="I3229" s="0">
        <v>69.99</v>
      </c>
      <c r="J3229" s="0">
        <v>40</v>
      </c>
    </row>
    <row r="3230" spans="1:10" customHeight="0">
      <c r="A3230" s="0">
        <f>HYPERLINK("https://dl.dropboxusercontent.com/scl/fi/xsqaig3hr7s00lo1y43u3/98250af.jpg?rlkey=q9jpbpbxbtl3gikq9zofnhvss&amp;dl=0","Click to download Image")</f>
      </c>
      <c r="B3230" s="0">
        <f>HYPERLINK("https://dl.dropboxusercontent.com/scl/fi/7pjy5x4hfh8gdnzphgj8s/graphic-update2022-womens.jpg?rlkey=r7ytlhwrqwzny89j07gq99jly&amp;dl=0","Click to download SizeChart")</f>
      </c>
      <c r="C3230" s="0" t="inlineStr">
        <is>
          <t>Ivy Women's Full Zip Hoodie</t>
        </is>
      </c>
      <c r="D3230" s="1">
        <v>98250</v>
      </c>
      <c r="E3230" s="0" t="inlineStr">
        <is>
          <t>IVY:98250C-L</t>
        </is>
      </c>
      <c r="G3230" s="0" t="inlineStr">
        <is>
          <t>WOMENS</t>
        </is>
      </c>
      <c r="H3230" s="0" t="inlineStr">
        <is>
          <t>L</t>
        </is>
      </c>
      <c r="I3230" s="0">
        <v>69.99</v>
      </c>
      <c r="J3230" s="0">
        <v>44</v>
      </c>
    </row>
    <row r="3231" spans="1:10" customHeight="0">
      <c r="A3231" s="0">
        <f>HYPERLINK("https://dl.dropboxusercontent.com/scl/fi/xsqaig3hr7s00lo1y43u3/98250af.jpg?rlkey=q9jpbpbxbtl3gikq9zofnhvss&amp;dl=0","Click to download Image")</f>
      </c>
      <c r="B3231" s="0">
        <f>HYPERLINK("https://dl.dropboxusercontent.com/scl/fi/7pjy5x4hfh8gdnzphgj8s/graphic-update2022-womens.jpg?rlkey=r7ytlhwrqwzny89j07gq99jly&amp;dl=0","Click to download SizeChart")</f>
      </c>
      <c r="C3231" s="0" t="inlineStr">
        <is>
          <t>Ivy Women's Full Zip Hoodie</t>
        </is>
      </c>
      <c r="D3231" s="1">
        <v>98250</v>
      </c>
      <c r="E3231" s="0" t="inlineStr">
        <is>
          <t>IVY:98250D-XL</t>
        </is>
      </c>
      <c r="G3231" s="0" t="inlineStr">
        <is>
          <t>WOMENS</t>
        </is>
      </c>
      <c r="H3231" s="0" t="inlineStr">
        <is>
          <t>XL</t>
        </is>
      </c>
      <c r="I3231" s="0">
        <v>69.99</v>
      </c>
      <c r="J3231" s="0">
        <v>53</v>
      </c>
    </row>
    <row r="3232" spans="1:10" customHeight="0">
      <c r="A3232" s="0">
        <f>HYPERLINK("https://dl.dropboxusercontent.com/scl/fi/xsqaig3hr7s00lo1y43u3/98250af.jpg?rlkey=q9jpbpbxbtl3gikq9zofnhvss&amp;dl=0","Click to download Image")</f>
      </c>
      <c r="B3232" s="0">
        <f>HYPERLINK("https://dl.dropboxusercontent.com/scl/fi/7pjy5x4hfh8gdnzphgj8s/graphic-update2022-womens.jpg?rlkey=r7ytlhwrqwzny89j07gq99jly&amp;dl=0","Click to download SizeChart")</f>
      </c>
      <c r="C3232" s="0" t="inlineStr">
        <is>
          <t>Ivy Women's Full Zip Hoodie</t>
        </is>
      </c>
      <c r="D3232" s="1">
        <v>98250</v>
      </c>
      <c r="E3232" s="0" t="inlineStr">
        <is>
          <t>IVY:98250E-2XL</t>
        </is>
      </c>
      <c r="G3232" s="0" t="inlineStr">
        <is>
          <t>WOMENS</t>
        </is>
      </c>
      <c r="H3232" s="0" t="inlineStr">
        <is>
          <t>2XL</t>
        </is>
      </c>
      <c r="I3232" s="0">
        <v>71.99</v>
      </c>
      <c r="J3232" s="0">
        <v>60</v>
      </c>
    </row>
    <row r="3233" spans="1:10" customHeight="0">
      <c r="A3233" s="0">
        <f>HYPERLINK("https://dl.dropboxusercontent.com/scl/fi/xsqaig3hr7s00lo1y43u3/98250af.jpg?rlkey=q9jpbpbxbtl3gikq9zofnhvss&amp;dl=0","Click to download Image")</f>
      </c>
      <c r="B3233" s="0">
        <f>HYPERLINK("https://dl.dropboxusercontent.com/scl/fi/7pjy5x4hfh8gdnzphgj8s/graphic-update2022-womens.jpg?rlkey=r7ytlhwrqwzny89j07gq99jly&amp;dl=0","Click to download SizeChart")</f>
      </c>
      <c r="C3233" s="0" t="inlineStr">
        <is>
          <t>Ivy Women's Full Zip Hoodie</t>
        </is>
      </c>
      <c r="D3233" s="1">
        <v>98250</v>
      </c>
      <c r="E3233" s="0" t="inlineStr">
        <is>
          <t>IVY:98250F-3XL</t>
        </is>
      </c>
      <c r="G3233" s="0" t="inlineStr">
        <is>
          <t>WOMENS</t>
        </is>
      </c>
      <c r="H3233" s="0" t="inlineStr">
        <is>
          <t>3XL</t>
        </is>
      </c>
      <c r="I3233" s="0">
        <v>71.99</v>
      </c>
      <c r="J3233" s="0">
        <v>7</v>
      </c>
    </row>
    <row r="3234" spans="1:10" customHeight="0">
      <c r="A3234" s="0">
        <f>HYPERLINK("https://dl.dropboxusercontent.com/scl/fi/2on0rz90r4a6038k0pkeb/97669-af.jpg?rlkey=wg8tns6o4v690m9r7eb70aqid&amp;dl=0","Click to download Image")</f>
      </c>
      <c r="C3234" s="0" t="inlineStr">
        <is>
          <t>Cora Youth Long Sleeve</t>
        </is>
      </c>
      <c r="D3234" s="1">
        <v>97669</v>
      </c>
      <c r="E3234" s="0" t="inlineStr">
        <is>
          <t>CORA:97669A-S</t>
        </is>
      </c>
      <c r="G3234" s="0" t="inlineStr">
        <is>
          <t>YOUTH</t>
        </is>
      </c>
      <c r="H3234" s="0" t="inlineStr">
        <is>
          <t>YS</t>
        </is>
      </c>
      <c r="I3234" s="0">
        <v>39.99</v>
      </c>
      <c r="J3234" s="0">
        <v>21</v>
      </c>
    </row>
    <row r="3235" spans="1:10" customHeight="0">
      <c r="A3235" s="0">
        <f>HYPERLINK("https://dl.dropboxusercontent.com/scl/fi/2on0rz90r4a6038k0pkeb/97669-af.jpg?rlkey=wg8tns6o4v690m9r7eb70aqid&amp;dl=0","Click to download Image")</f>
      </c>
      <c r="C3235" s="0" t="inlineStr">
        <is>
          <t>Cora Youth Long Sleeve</t>
        </is>
      </c>
      <c r="D3235" s="1">
        <v>97669</v>
      </c>
      <c r="E3235" s="0" t="inlineStr">
        <is>
          <t>CORA:97669B-M</t>
        </is>
      </c>
      <c r="G3235" s="0" t="inlineStr">
        <is>
          <t>YOUTH</t>
        </is>
      </c>
      <c r="H3235" s="0" t="inlineStr">
        <is>
          <t>YM</t>
        </is>
      </c>
      <c r="I3235" s="0">
        <v>39.99</v>
      </c>
      <c r="J3235" s="0">
        <v>0</v>
      </c>
    </row>
    <row r="3236" spans="1:10" customHeight="0">
      <c r="A3236" s="0">
        <f>HYPERLINK("https://dl.dropboxusercontent.com/scl/fi/2on0rz90r4a6038k0pkeb/97669-af.jpg?rlkey=wg8tns6o4v690m9r7eb70aqid&amp;dl=0","Click to download Image")</f>
      </c>
      <c r="C3236" s="0" t="inlineStr">
        <is>
          <t>Cora Youth Long Sleeve</t>
        </is>
      </c>
      <c r="D3236" s="1">
        <v>97669</v>
      </c>
      <c r="E3236" s="0" t="inlineStr">
        <is>
          <t>CORA:97669C-L</t>
        </is>
      </c>
      <c r="G3236" s="0" t="inlineStr">
        <is>
          <t>YOUTH</t>
        </is>
      </c>
      <c r="H3236" s="0" t="inlineStr">
        <is>
          <t>YL</t>
        </is>
      </c>
      <c r="I3236" s="0">
        <v>39.99</v>
      </c>
      <c r="J3236" s="0">
        <v>6</v>
      </c>
    </row>
    <row r="3237" spans="1:10" customHeight="0">
      <c r="A3237" s="0">
        <f>HYPERLINK("https://dl.dropboxusercontent.com/scl/fi/2on0rz90r4a6038k0pkeb/97669-af.jpg?rlkey=wg8tns6o4v690m9r7eb70aqid&amp;dl=0","Click to download Image")</f>
      </c>
      <c r="C3237" s="0" t="inlineStr">
        <is>
          <t>Cora Youth Long Sleeve</t>
        </is>
      </c>
      <c r="D3237" s="1">
        <v>97669</v>
      </c>
      <c r="E3237" s="0" t="inlineStr">
        <is>
          <t>CORA:97669D-XL</t>
        </is>
      </c>
      <c r="G3237" s="0" t="inlineStr">
        <is>
          <t>YOUTH</t>
        </is>
      </c>
      <c r="H3237" s="0" t="inlineStr">
        <is>
          <t>YXL</t>
        </is>
      </c>
      <c r="I3237" s="0">
        <v>39.99</v>
      </c>
      <c r="J3237" s="0">
        <v>28</v>
      </c>
    </row>
    <row r="3238" spans="1:10" customHeight="0">
      <c r="A3238" s="0">
        <f>HYPERLINK("https://dl.dropboxusercontent.com/scl/fi/mk34n41bhduwth8ko0x09/gene.jpg?rlkey=rofxmrgp09hxe8top2av4bd8b&amp;dl=0","Click to download Image")</f>
      </c>
      <c r="C3238" s="0" t="inlineStr">
        <is>
          <t>Gene Youth Cap</t>
        </is>
      </c>
      <c r="D3238" s="1">
        <v>99871</v>
      </c>
      <c r="E3238" s="0" t="inlineStr">
        <is>
          <t>GENE:99871</t>
        </is>
      </c>
      <c r="F3238" s="2">
        <v>70009987101</v>
      </c>
      <c r="G3238" s="0" t="inlineStr">
        <is>
          <t>YOUTH</t>
        </is>
      </c>
      <c r="H3238" s="0" t="inlineStr">
        <is>
          <t>YOUTH</t>
        </is>
      </c>
      <c r="I3238" s="0">
        <v>21.99</v>
      </c>
      <c r="J3238" s="0">
        <v>317</v>
      </c>
    </row>
    <row r="3239" spans="1:10" customHeight="0">
      <c r="A3239" s="0">
        <f>HYPERLINK("https://dl.dropboxusercontent.com/scl/fi/eljrkqimg5eqr08igqp2j/halsey.jpg?rlkey=cvew5h4htm95t45yhxc1c3ha5&amp;dl=0","Click to download Image")</f>
      </c>
      <c r="C3239" s="0" t="inlineStr">
        <is>
          <t>Halsey Youth Cap</t>
        </is>
      </c>
      <c r="D3239" s="1">
        <v>99728</v>
      </c>
      <c r="E3239" s="0" t="inlineStr">
        <is>
          <t>HALSEY:99728-Y</t>
        </is>
      </c>
      <c r="F3239" s="2">
        <v>70009972801</v>
      </c>
      <c r="G3239" s="0" t="inlineStr">
        <is>
          <t>YOUTH</t>
        </is>
      </c>
      <c r="H3239" s="0" t="inlineStr">
        <is>
          <t>YOUTH</t>
        </is>
      </c>
      <c r="I3239" s="0">
        <v>18.99</v>
      </c>
      <c r="J3239" s="0">
        <v>28</v>
      </c>
    </row>
    <row r="3240" spans="1:10" customHeight="0">
      <c r="A3240" s="0">
        <f>HYPERLINK("https://dl.dropboxusercontent.com/scl/fi/oode7f71qbadpxddpxzdc/97811-af.jpg?rlkey=qsy5y7fikyz7ubb1fswz1mkf9&amp;dl=0","Click to download Image")</f>
      </c>
      <c r="B3240" s="0">
        <f>HYPERLINK("https://dl.dropboxusercontent.com/scl/fi/1krgihb73vflnoj4gckml/graphic-update2022-womens.jpg?rlkey=u4d61za72bjoe9ft9bvrtxymt&amp;dl=0","Click to download SizeChart")</f>
      </c>
      <c r="C3240" s="0" t="inlineStr">
        <is>
          <t>Cora Women's Long Sleeve</t>
        </is>
      </c>
      <c r="D3240" s="1">
        <v>97811</v>
      </c>
      <c r="E3240" s="0" t="inlineStr">
        <is>
          <t>CORA:97811A-S</t>
        </is>
      </c>
      <c r="G3240" s="0" t="inlineStr">
        <is>
          <t>WOMENS</t>
        </is>
      </c>
      <c r="H3240" s="0" t="inlineStr">
        <is>
          <t>S</t>
        </is>
      </c>
      <c r="I3240" s="0">
        <v>39.99</v>
      </c>
      <c r="J3240" s="0">
        <v>0</v>
      </c>
    </row>
    <row r="3241" spans="1:10" customHeight="0">
      <c r="A3241" s="0">
        <f>HYPERLINK("https://dl.dropboxusercontent.com/scl/fi/oode7f71qbadpxddpxzdc/97811-af.jpg?rlkey=qsy5y7fikyz7ubb1fswz1mkf9&amp;dl=0","Click to download Image")</f>
      </c>
      <c r="B3241" s="0">
        <f>HYPERLINK("https://dl.dropboxusercontent.com/scl/fi/1krgihb73vflnoj4gckml/graphic-update2022-womens.jpg?rlkey=u4d61za72bjoe9ft9bvrtxymt&amp;dl=0","Click to download SizeChart")</f>
      </c>
      <c r="C3241" s="0" t="inlineStr">
        <is>
          <t>Cora Women's Long Sleeve</t>
        </is>
      </c>
      <c r="D3241" s="1">
        <v>97811</v>
      </c>
      <c r="E3241" s="0" t="inlineStr">
        <is>
          <t>CORA:97811B-M</t>
        </is>
      </c>
      <c r="G3241" s="0" t="inlineStr">
        <is>
          <t>WOMENS</t>
        </is>
      </c>
      <c r="H3241" s="0" t="inlineStr">
        <is>
          <t>M</t>
        </is>
      </c>
      <c r="I3241" s="0">
        <v>39.99</v>
      </c>
      <c r="J3241" s="0">
        <v>1</v>
      </c>
    </row>
    <row r="3242" spans="1:10" customHeight="0">
      <c r="A3242" s="0">
        <f>HYPERLINK("https://dl.dropboxusercontent.com/scl/fi/oode7f71qbadpxddpxzdc/97811-af.jpg?rlkey=qsy5y7fikyz7ubb1fswz1mkf9&amp;dl=0","Click to download Image")</f>
      </c>
      <c r="B3242" s="0">
        <f>HYPERLINK("https://dl.dropboxusercontent.com/scl/fi/1krgihb73vflnoj4gckml/graphic-update2022-womens.jpg?rlkey=u4d61za72bjoe9ft9bvrtxymt&amp;dl=0","Click to download SizeChart")</f>
      </c>
      <c r="C3242" s="0" t="inlineStr">
        <is>
          <t>Cora Women's Long Sleeve</t>
        </is>
      </c>
      <c r="D3242" s="1">
        <v>97811</v>
      </c>
      <c r="E3242" s="0" t="inlineStr">
        <is>
          <t>CORA:97811C-L</t>
        </is>
      </c>
      <c r="G3242" s="0" t="inlineStr">
        <is>
          <t>WOMENS</t>
        </is>
      </c>
      <c r="H3242" s="0" t="inlineStr">
        <is>
          <t>L</t>
        </is>
      </c>
      <c r="I3242" s="0">
        <v>39.99</v>
      </c>
      <c r="J3242" s="0">
        <v>9</v>
      </c>
    </row>
    <row r="3243" spans="1:10" customHeight="0">
      <c r="A3243" s="0">
        <f>HYPERLINK("https://dl.dropboxusercontent.com/scl/fi/oode7f71qbadpxddpxzdc/97811-af.jpg?rlkey=qsy5y7fikyz7ubb1fswz1mkf9&amp;dl=0","Click to download Image")</f>
      </c>
      <c r="B3243" s="0">
        <f>HYPERLINK("https://dl.dropboxusercontent.com/scl/fi/1krgihb73vflnoj4gckml/graphic-update2022-womens.jpg?rlkey=u4d61za72bjoe9ft9bvrtxymt&amp;dl=0","Click to download SizeChart")</f>
      </c>
      <c r="C3243" s="0" t="inlineStr">
        <is>
          <t>Cora Women's Long Sleeve</t>
        </is>
      </c>
      <c r="D3243" s="1">
        <v>97811</v>
      </c>
      <c r="E3243" s="0" t="inlineStr">
        <is>
          <t>CORA:97811D-XL</t>
        </is>
      </c>
      <c r="G3243" s="0" t="inlineStr">
        <is>
          <t>WOMENS</t>
        </is>
      </c>
      <c r="H3243" s="0" t="inlineStr">
        <is>
          <t>XL</t>
        </is>
      </c>
      <c r="I3243" s="0">
        <v>39.99</v>
      </c>
      <c r="J3243" s="0">
        <v>10</v>
      </c>
    </row>
    <row r="3244" spans="1:10" customHeight="0">
      <c r="A3244" s="0">
        <f>HYPERLINK("https://dl.dropboxusercontent.com/scl/fi/oode7f71qbadpxddpxzdc/97811-af.jpg?rlkey=qsy5y7fikyz7ubb1fswz1mkf9&amp;dl=0","Click to download Image")</f>
      </c>
      <c r="B3244" s="0">
        <f>HYPERLINK("https://dl.dropboxusercontent.com/scl/fi/1krgihb73vflnoj4gckml/graphic-update2022-womens.jpg?rlkey=u4d61za72bjoe9ft9bvrtxymt&amp;dl=0","Click to download SizeChart")</f>
      </c>
      <c r="C3244" s="0" t="inlineStr">
        <is>
          <t>Cora Women's Long Sleeve</t>
        </is>
      </c>
      <c r="D3244" s="1">
        <v>97811</v>
      </c>
      <c r="E3244" s="0" t="inlineStr">
        <is>
          <t>CORA:97811E-2XL</t>
        </is>
      </c>
      <c r="G3244" s="0" t="inlineStr">
        <is>
          <t>WOMENS</t>
        </is>
      </c>
      <c r="H3244" s="0" t="inlineStr">
        <is>
          <t>2XL</t>
        </is>
      </c>
      <c r="I3244" s="0">
        <v>41.99</v>
      </c>
      <c r="J3244" s="0">
        <v>0</v>
      </c>
    </row>
    <row r="3245" spans="1:10" customHeight="0">
      <c r="A3245" s="0">
        <f>HYPERLINK("https://dl.dropboxusercontent.com/scl/fi/oode7f71qbadpxddpxzdc/97811-af.jpg?rlkey=qsy5y7fikyz7ubb1fswz1mkf9&amp;dl=0","Click to download Image")</f>
      </c>
      <c r="B3245" s="0">
        <f>HYPERLINK("https://dl.dropboxusercontent.com/scl/fi/1krgihb73vflnoj4gckml/graphic-update2022-womens.jpg?rlkey=u4d61za72bjoe9ft9bvrtxymt&amp;dl=0","Click to download SizeChart")</f>
      </c>
      <c r="C3245" s="0" t="inlineStr">
        <is>
          <t>Cora Women's Long Sleeve</t>
        </is>
      </c>
      <c r="D3245" s="1">
        <v>97811</v>
      </c>
      <c r="E3245" s="0" t="inlineStr">
        <is>
          <t>CORA:97811F-3XL</t>
        </is>
      </c>
      <c r="G3245" s="0" t="inlineStr">
        <is>
          <t>WOMENS</t>
        </is>
      </c>
      <c r="H3245" s="0" t="inlineStr">
        <is>
          <t>3XL</t>
        </is>
      </c>
      <c r="I3245" s="0">
        <v>41.99</v>
      </c>
      <c r="J3245" s="0">
        <v>11</v>
      </c>
    </row>
    <row r="3246" spans="1:10" customHeight="0">
      <c r="A3246" s="0">
        <f>HYPERLINK("https://dl.dropboxusercontent.com/scl/fi/8h0cb3co9zn0o8adluk87/milo.jpg?rlkey=arl9lcjqi9023m7wy2tbven60&amp;dl=0","Click to download Image")</f>
      </c>
      <c r="B3246" s="0">
        <f>HYPERLINK("https://dl.dropboxusercontent.com/scl/fi/vbym7smqpxdela53z9sow/mens-d.jpg?rlkey=q4ak1mgzklm73q1gueol1e1dg&amp;dl=0","Click to download SizeChart")</f>
      </c>
      <c r="C3246" s="0" t="inlineStr">
        <is>
          <t>Milo Men's Full Zip Hoodie</t>
        </is>
      </c>
      <c r="D3246" s="1">
        <v>99203</v>
      </c>
      <c r="E3246" s="0" t="inlineStr">
        <is>
          <t>MILO:99203A-S</t>
        </is>
      </c>
      <c r="G3246" s="0" t="inlineStr">
        <is>
          <t>MENS</t>
        </is>
      </c>
      <c r="H3246" s="0" t="inlineStr">
        <is>
          <t>S</t>
        </is>
      </c>
      <c r="I3246" s="0">
        <v>49.99</v>
      </c>
      <c r="J3246" s="0">
        <v>26</v>
      </c>
    </row>
    <row r="3247" spans="1:10" customHeight="0">
      <c r="A3247" s="0">
        <f>HYPERLINK("https://dl.dropboxusercontent.com/scl/fi/8h0cb3co9zn0o8adluk87/milo.jpg?rlkey=arl9lcjqi9023m7wy2tbven60&amp;dl=0","Click to download Image")</f>
      </c>
      <c r="B3247" s="0">
        <f>HYPERLINK("https://dl.dropboxusercontent.com/scl/fi/vbym7smqpxdela53z9sow/mens-d.jpg?rlkey=q4ak1mgzklm73q1gueol1e1dg&amp;dl=0","Click to download SizeChart")</f>
      </c>
      <c r="C3247" s="0" t="inlineStr">
        <is>
          <t>Milo Men's Full Zip Hoodie</t>
        </is>
      </c>
      <c r="D3247" s="1">
        <v>99203</v>
      </c>
      <c r="E3247" s="0" t="inlineStr">
        <is>
          <t>MILO:99203B-M</t>
        </is>
      </c>
      <c r="G3247" s="0" t="inlineStr">
        <is>
          <t>MENS</t>
        </is>
      </c>
      <c r="H3247" s="0" t="inlineStr">
        <is>
          <t>M</t>
        </is>
      </c>
      <c r="I3247" s="0">
        <v>49.99</v>
      </c>
      <c r="J3247" s="0">
        <v>28</v>
      </c>
    </row>
    <row r="3248" spans="1:10" customHeight="0">
      <c r="A3248" s="0">
        <f>HYPERLINK("https://dl.dropboxusercontent.com/scl/fi/l5y2qgrt70ttqn7yk7iy7/mallory.jpg?rlkey=zn8vw0ro3c0qpjjv0tkw87e2u&amp;dl=0","Click to download Image")</f>
      </c>
      <c r="C3248" s="0" t="inlineStr">
        <is>
          <t>Mallory Women's Military Cap</t>
        </is>
      </c>
      <c r="D3248" s="1">
        <v>95676</v>
      </c>
      <c r="E3248" s="0" t="inlineStr">
        <is>
          <t>MALLORY:95676</t>
        </is>
      </c>
      <c r="F3248" s="2">
        <v>70009567601</v>
      </c>
      <c r="G3248" s="0" t="inlineStr">
        <is>
          <t>WOMENS</t>
        </is>
      </c>
      <c r="H3248" s="0" t="inlineStr">
        <is>
          <t>WOMENS</t>
        </is>
      </c>
      <c r="I3248" s="0">
        <v>18.99</v>
      </c>
      <c r="J3248" s="0">
        <v>29</v>
      </c>
    </row>
    <row r="3249" spans="1:10" customHeight="0">
      <c r="A3249" s="0">
        <f>HYPERLINK("https://dl.dropboxusercontent.com/scl/fi/0g6sc8m3v8s6j0mwupgiv/melissa-03.jpg?rlkey=vtkie6arqsxp34vit5fbw9txn&amp;dl=0","Click to download Image")</f>
      </c>
      <c r="B3249" s="0">
        <f>HYPERLINK("https://dl.dropboxusercontent.com/scl/fi/3ofty7ujcg5k5sfpejznp/size-chartswomens-leggings-m.jpg?rlkey=hovx2q20p5kxk4wghaw1cqhyr&amp;dl=0","Click to download SizeChart")</f>
      </c>
      <c r="C3249" s="0" t="inlineStr">
        <is>
          <t>Melissa Women's Leggings</t>
        </is>
      </c>
      <c r="D3249" s="1">
        <v>98428</v>
      </c>
      <c r="E3249" s="0" t="inlineStr">
        <is>
          <t>MELISSA:98428A-S</t>
        </is>
      </c>
      <c r="G3249" s="0" t="inlineStr">
        <is>
          <t>WOMENS</t>
        </is>
      </c>
      <c r="H3249" s="0" t="inlineStr">
        <is>
          <t>S</t>
        </is>
      </c>
      <c r="I3249" s="0">
        <v>34.99</v>
      </c>
      <c r="J3249" s="0">
        <v>40</v>
      </c>
    </row>
    <row r="3250" spans="1:10" customHeight="0">
      <c r="A3250" s="0">
        <f>HYPERLINK("https://dl.dropboxusercontent.com/scl/fi/0g6sc8m3v8s6j0mwupgiv/melissa-03.jpg?rlkey=vtkie6arqsxp34vit5fbw9txn&amp;dl=0","Click to download Image")</f>
      </c>
      <c r="B3250" s="0">
        <f>HYPERLINK("https://dl.dropboxusercontent.com/scl/fi/3ofty7ujcg5k5sfpejznp/size-chartswomens-leggings-m.jpg?rlkey=hovx2q20p5kxk4wghaw1cqhyr&amp;dl=0","Click to download SizeChart")</f>
      </c>
      <c r="C3250" s="0" t="inlineStr">
        <is>
          <t>Melissa Women's Leggings</t>
        </is>
      </c>
      <c r="D3250" s="1">
        <v>98428</v>
      </c>
      <c r="E3250" s="0" t="inlineStr">
        <is>
          <t>MELISSA:98428B-M</t>
        </is>
      </c>
      <c r="G3250" s="0" t="inlineStr">
        <is>
          <t>WOMENS</t>
        </is>
      </c>
      <c r="H3250" s="0" t="inlineStr">
        <is>
          <t>M</t>
        </is>
      </c>
      <c r="I3250" s="0">
        <v>34.99</v>
      </c>
      <c r="J3250" s="0">
        <v>43</v>
      </c>
    </row>
    <row r="3251" spans="1:10" customHeight="0">
      <c r="A3251" s="0">
        <f>HYPERLINK("https://dl.dropboxusercontent.com/scl/fi/0g6sc8m3v8s6j0mwupgiv/melissa-03.jpg?rlkey=vtkie6arqsxp34vit5fbw9txn&amp;dl=0","Click to download Image")</f>
      </c>
      <c r="B3251" s="0">
        <f>HYPERLINK("https://dl.dropboxusercontent.com/scl/fi/3ofty7ujcg5k5sfpejznp/size-chartswomens-leggings-m.jpg?rlkey=hovx2q20p5kxk4wghaw1cqhyr&amp;dl=0","Click to download SizeChart")</f>
      </c>
      <c r="C3251" s="0" t="inlineStr">
        <is>
          <t>Melissa Women's Leggings</t>
        </is>
      </c>
      <c r="D3251" s="1">
        <v>98428</v>
      </c>
      <c r="E3251" s="0" t="inlineStr">
        <is>
          <t>MELISSA:98428C-L</t>
        </is>
      </c>
      <c r="G3251" s="0" t="inlineStr">
        <is>
          <t>WOMENS</t>
        </is>
      </c>
      <c r="H3251" s="0" t="inlineStr">
        <is>
          <t>L</t>
        </is>
      </c>
      <c r="I3251" s="0">
        <v>34.99</v>
      </c>
      <c r="J3251" s="0">
        <v>72</v>
      </c>
    </row>
    <row r="3252" spans="1:10" customHeight="0">
      <c r="A3252" s="0">
        <f>HYPERLINK("https://dl.dropboxusercontent.com/scl/fi/0g6sc8m3v8s6j0mwupgiv/melissa-03.jpg?rlkey=vtkie6arqsxp34vit5fbw9txn&amp;dl=0","Click to download Image")</f>
      </c>
      <c r="B3252" s="0">
        <f>HYPERLINK("https://dl.dropboxusercontent.com/scl/fi/3ofty7ujcg5k5sfpejznp/size-chartswomens-leggings-m.jpg?rlkey=hovx2q20p5kxk4wghaw1cqhyr&amp;dl=0","Click to download SizeChart")</f>
      </c>
      <c r="C3252" s="0" t="inlineStr">
        <is>
          <t>Melissa Women's Leggings</t>
        </is>
      </c>
      <c r="D3252" s="1">
        <v>98428</v>
      </c>
      <c r="E3252" s="0" t="inlineStr">
        <is>
          <t>MELISSA:98428D-XL</t>
        </is>
      </c>
      <c r="G3252" s="0" t="inlineStr">
        <is>
          <t>WOMENS</t>
        </is>
      </c>
      <c r="H3252" s="0" t="inlineStr">
        <is>
          <t>XL</t>
        </is>
      </c>
      <c r="I3252" s="0">
        <v>34.99</v>
      </c>
      <c r="J3252" s="0">
        <v>87</v>
      </c>
    </row>
    <row r="3253" spans="1:10" customHeight="0">
      <c r="A3253" s="0">
        <f>HYPERLINK("https://dl.dropboxusercontent.com/scl/fi/0g6sc8m3v8s6j0mwupgiv/melissa-03.jpg?rlkey=vtkie6arqsxp34vit5fbw9txn&amp;dl=0","Click to download Image")</f>
      </c>
      <c r="B3253" s="0">
        <f>HYPERLINK("https://dl.dropboxusercontent.com/scl/fi/3ofty7ujcg5k5sfpejznp/size-chartswomens-leggings-m.jpg?rlkey=hovx2q20p5kxk4wghaw1cqhyr&amp;dl=0","Click to download SizeChart")</f>
      </c>
      <c r="C3253" s="0" t="inlineStr">
        <is>
          <t>Melissa Women's Leggings</t>
        </is>
      </c>
      <c r="D3253" s="1">
        <v>98428</v>
      </c>
      <c r="E3253" s="0" t="inlineStr">
        <is>
          <t>MELISSA:98428E-2XL</t>
        </is>
      </c>
      <c r="G3253" s="0" t="inlineStr">
        <is>
          <t>WOMENS</t>
        </is>
      </c>
      <c r="H3253" s="0" t="inlineStr">
        <is>
          <t>2XL</t>
        </is>
      </c>
      <c r="I3253" s="0">
        <v>36.99</v>
      </c>
      <c r="J3253" s="0">
        <v>37</v>
      </c>
    </row>
    <row r="3254" spans="1:10" customHeight="0">
      <c r="A3254" s="0">
        <f>HYPERLINK("https://dl.dropboxusercontent.com/scl/fi/spc7hit6yimtjklkw0sme/matt-03.jpg?rlkey=awv38tr5nhj99h0d6n3ohloxq&amp;dl=0","Click to download Image")</f>
      </c>
      <c r="B3254" s="0">
        <f>HYPERLINK("https://dl.dropboxusercontent.com/scl/fi/5jcjqs776dwqvctxnxqpx/size-chartmens-h.jpg?rlkey=fbg9xxixqrw8868zy3dutwhpu&amp;dl=0","Click to download SizeChart")</f>
      </c>
      <c r="C3254" s="0" t="inlineStr">
        <is>
          <t>Matt Men's Boardshorts</t>
        </is>
      </c>
      <c r="D3254" s="1">
        <v>96264</v>
      </c>
      <c r="E3254" s="0" t="inlineStr">
        <is>
          <t>MATT:96264-30</t>
        </is>
      </c>
      <c r="G3254" s="0" t="inlineStr">
        <is>
          <t>MENS</t>
        </is>
      </c>
      <c r="H3254" s="0" t="inlineStr">
        <is>
          <t>30</t>
        </is>
      </c>
      <c r="I3254" s="0">
        <v>39.99</v>
      </c>
      <c r="J3254" s="0">
        <v>149</v>
      </c>
    </row>
    <row r="3255" spans="1:10" customHeight="0">
      <c r="A3255" s="0">
        <f>HYPERLINK("https://dl.dropboxusercontent.com/scl/fi/spc7hit6yimtjklkw0sme/matt-03.jpg?rlkey=awv38tr5nhj99h0d6n3ohloxq&amp;dl=0","Click to download Image")</f>
      </c>
      <c r="B3255" s="0">
        <f>HYPERLINK("https://dl.dropboxusercontent.com/scl/fi/5jcjqs776dwqvctxnxqpx/size-chartmens-h.jpg?rlkey=fbg9xxixqrw8868zy3dutwhpu&amp;dl=0","Click to download SizeChart")</f>
      </c>
      <c r="C3255" s="0" t="inlineStr">
        <is>
          <t>Matt Men's Boardshorts</t>
        </is>
      </c>
      <c r="D3255" s="1">
        <v>96264</v>
      </c>
      <c r="E3255" s="0" t="inlineStr">
        <is>
          <t>MATT:96264-32</t>
        </is>
      </c>
      <c r="G3255" s="0" t="inlineStr">
        <is>
          <t>MENS</t>
        </is>
      </c>
      <c r="H3255" s="0" t="inlineStr">
        <is>
          <t>32</t>
        </is>
      </c>
      <c r="I3255" s="0">
        <v>39.99</v>
      </c>
      <c r="J3255" s="0">
        <v>89</v>
      </c>
    </row>
    <row r="3256" spans="1:10" customHeight="0">
      <c r="A3256" s="0">
        <f>HYPERLINK("https://dl.dropboxusercontent.com/scl/fi/spc7hit6yimtjklkw0sme/matt-03.jpg?rlkey=awv38tr5nhj99h0d6n3ohloxq&amp;dl=0","Click to download Image")</f>
      </c>
      <c r="B3256" s="0">
        <f>HYPERLINK("https://dl.dropboxusercontent.com/scl/fi/5jcjqs776dwqvctxnxqpx/size-chartmens-h.jpg?rlkey=fbg9xxixqrw8868zy3dutwhpu&amp;dl=0","Click to download SizeChart")</f>
      </c>
      <c r="C3256" s="0" t="inlineStr">
        <is>
          <t>Matt Men's Boardshorts</t>
        </is>
      </c>
      <c r="D3256" s="1">
        <v>96264</v>
      </c>
      <c r="E3256" s="0" t="inlineStr">
        <is>
          <t>MATT:96264-34</t>
        </is>
      </c>
      <c r="G3256" s="0" t="inlineStr">
        <is>
          <t>MENS</t>
        </is>
      </c>
      <c r="H3256" s="0" t="inlineStr">
        <is>
          <t>34</t>
        </is>
      </c>
      <c r="I3256" s="0">
        <v>39.99</v>
      </c>
      <c r="J3256" s="0">
        <v>6</v>
      </c>
    </row>
    <row r="3257" spans="1:10" customHeight="0">
      <c r="A3257" s="0">
        <f>HYPERLINK("https://dl.dropboxusercontent.com/scl/fi/spc7hit6yimtjklkw0sme/matt-03.jpg?rlkey=awv38tr5nhj99h0d6n3ohloxq&amp;dl=0","Click to download Image")</f>
      </c>
      <c r="B3257" s="0">
        <f>HYPERLINK("https://dl.dropboxusercontent.com/scl/fi/5jcjqs776dwqvctxnxqpx/size-chartmens-h.jpg?rlkey=fbg9xxixqrw8868zy3dutwhpu&amp;dl=0","Click to download SizeChart")</f>
      </c>
      <c r="C3257" s="0" t="inlineStr">
        <is>
          <t>Matt Men's Boardshorts</t>
        </is>
      </c>
      <c r="D3257" s="1">
        <v>96264</v>
      </c>
      <c r="E3257" s="0" t="inlineStr">
        <is>
          <t>MATT:96264-36</t>
        </is>
      </c>
      <c r="G3257" s="0" t="inlineStr">
        <is>
          <t>MENS</t>
        </is>
      </c>
      <c r="H3257" s="0" t="inlineStr">
        <is>
          <t>36</t>
        </is>
      </c>
      <c r="I3257" s="0">
        <v>39.99</v>
      </c>
      <c r="J3257" s="0">
        <v>18</v>
      </c>
    </row>
    <row r="3258" spans="1:10" customHeight="0">
      <c r="A3258" s="0">
        <f>HYPERLINK("https://dl.dropboxusercontent.com/scl/fi/spc7hit6yimtjklkw0sme/matt-03.jpg?rlkey=awv38tr5nhj99h0d6n3ohloxq&amp;dl=0","Click to download Image")</f>
      </c>
      <c r="B3258" s="0">
        <f>HYPERLINK("https://dl.dropboxusercontent.com/scl/fi/5jcjqs776dwqvctxnxqpx/size-chartmens-h.jpg?rlkey=fbg9xxixqrw8868zy3dutwhpu&amp;dl=0","Click to download SizeChart")</f>
      </c>
      <c r="C3258" s="0" t="inlineStr">
        <is>
          <t>Matt Men's Boardshorts</t>
        </is>
      </c>
      <c r="D3258" s="1">
        <v>96264</v>
      </c>
      <c r="E3258" s="0" t="inlineStr">
        <is>
          <t>MATT:96264-38</t>
        </is>
      </c>
      <c r="G3258" s="0" t="inlineStr">
        <is>
          <t>MENS</t>
        </is>
      </c>
      <c r="H3258" s="0" t="inlineStr">
        <is>
          <t>38</t>
        </is>
      </c>
      <c r="I3258" s="0">
        <v>39.99</v>
      </c>
      <c r="J3258" s="0">
        <v>8</v>
      </c>
    </row>
    <row r="3259" spans="1:10" customHeight="0">
      <c r="A3259" s="0">
        <f>HYPERLINK("https://dl.dropboxusercontent.com/scl/fi/spc7hit6yimtjklkw0sme/matt-03.jpg?rlkey=awv38tr5nhj99h0d6n3ohloxq&amp;dl=0","Click to download Image")</f>
      </c>
      <c r="B3259" s="0">
        <f>HYPERLINK("https://dl.dropboxusercontent.com/scl/fi/5jcjqs776dwqvctxnxqpx/size-chartmens-h.jpg?rlkey=fbg9xxixqrw8868zy3dutwhpu&amp;dl=0","Click to download SizeChart")</f>
      </c>
      <c r="C3259" s="0" t="inlineStr">
        <is>
          <t>Matt Men's Boardshorts</t>
        </is>
      </c>
      <c r="D3259" s="1">
        <v>96264</v>
      </c>
      <c r="E3259" s="0" t="inlineStr">
        <is>
          <t>MATT:96264-40</t>
        </is>
      </c>
      <c r="G3259" s="0" t="inlineStr">
        <is>
          <t>MENS</t>
        </is>
      </c>
      <c r="H3259" s="0" t="inlineStr">
        <is>
          <t>40</t>
        </is>
      </c>
      <c r="I3259" s="0">
        <v>39.99</v>
      </c>
      <c r="J3259" s="0">
        <v>18</v>
      </c>
    </row>
    <row r="3260" spans="1:10" customHeight="0">
      <c r="A3260" s="0">
        <f>HYPERLINK("https://dl.dropboxusercontent.com/scl/fi/spc7hit6yimtjklkw0sme/matt-03.jpg?rlkey=awv38tr5nhj99h0d6n3ohloxq&amp;dl=0","Click to download Image")</f>
      </c>
      <c r="B3260" s="0">
        <f>HYPERLINK("https://dl.dropboxusercontent.com/scl/fi/5jcjqs776dwqvctxnxqpx/size-chartmens-h.jpg?rlkey=fbg9xxixqrw8868zy3dutwhpu&amp;dl=0","Click to download SizeChart")</f>
      </c>
      <c r="C3260" s="0" t="inlineStr">
        <is>
          <t>Matt Men's Boardshorts</t>
        </is>
      </c>
      <c r="D3260" s="1">
        <v>96264</v>
      </c>
      <c r="E3260" s="0" t="inlineStr">
        <is>
          <t>MATT:96264-42</t>
        </is>
      </c>
      <c r="G3260" s="0" t="inlineStr">
        <is>
          <t>MENS</t>
        </is>
      </c>
      <c r="H3260" s="0" t="inlineStr">
        <is>
          <t>42</t>
        </is>
      </c>
      <c r="I3260" s="0">
        <v>39.99</v>
      </c>
      <c r="J3260" s="0">
        <v>1</v>
      </c>
    </row>
    <row r="3261" spans="1:10" customHeight="0">
      <c r="A3261" s="0">
        <f>HYPERLINK("https://dl.dropboxusercontent.com/scl/fi/l9sfb31hf3zdagzvz66ia/blisst.jpg?rlkey=1980vhp5fmeeymwbstiu5f76i&amp;dl=0","Click to download Image")</f>
      </c>
      <c r="C3261" s="0" t="inlineStr">
        <is>
          <t>Bliss Diaper Bag</t>
        </is>
      </c>
      <c r="D3261" s="1">
        <v>94441</v>
      </c>
      <c r="E3261" s="0" t="inlineStr">
        <is>
          <t>BLISS:94441</t>
        </is>
      </c>
      <c r="F3261" s="2">
        <v>90009444101</v>
      </c>
      <c r="I3261" s="0">
        <v>49.99</v>
      </c>
      <c r="J3261" s="0">
        <v>447</v>
      </c>
    </row>
    <row r="3262" spans="1:10" customHeight="0">
      <c r="A3262" s="0">
        <f>HYPERLINK("https://dl.dropboxusercontent.com/scl/fi/4dyzih1knr7n77asbnymq/haydent.jpg?rlkey=o50zhvly5wuo83vjpd8qw6s1n&amp;dl=0","Click to download Image")</f>
      </c>
      <c r="C3262" s="0" t="inlineStr">
        <is>
          <t>Hayden Youth Backpack</t>
        </is>
      </c>
      <c r="D3262" s="1">
        <v>95540</v>
      </c>
      <c r="E3262" s="0" t="inlineStr">
        <is>
          <t>HAYDEN:95540</t>
        </is>
      </c>
      <c r="F3262" s="2">
        <v>90009554001</v>
      </c>
      <c r="I3262" s="0">
        <v>34.99</v>
      </c>
      <c r="J3262" s="0">
        <v>378</v>
      </c>
    </row>
    <row r="3263" spans="1:10" customHeight="0">
      <c r="A3263" s="0">
        <f>HYPERLINK("https://dl.dropboxusercontent.com/scl/fi/usmkpx8uol9rkccba0m19/michael.jpg?rlkey=c8k5dq4ezxrevj9jafqztlf1l&amp;dl=0","Click to download Image")</f>
      </c>
      <c r="C3263" s="0" t="inlineStr">
        <is>
          <t>Michael Youth Stretch Fit Cap</t>
        </is>
      </c>
      <c r="D3263" s="1">
        <v>95063</v>
      </c>
      <c r="E3263" s="0" t="inlineStr">
        <is>
          <t>MICHAEL:95063</t>
        </is>
      </c>
      <c r="G3263" s="0" t="inlineStr">
        <is>
          <t>YOUTH</t>
        </is>
      </c>
      <c r="H3263" s="0" t="inlineStr">
        <is>
          <t>YOUTH</t>
        </is>
      </c>
      <c r="I3263" s="0">
        <v>19.99</v>
      </c>
      <c r="J3263" s="0">
        <v>18</v>
      </c>
    </row>
    <row r="3264" spans="1:10" customHeight="0">
      <c r="A3264" s="0">
        <f>HYPERLINK("https://dl.dropboxusercontent.com/scl/fi/kamk6vofh0t3ycz8ubtiy/gavint.jpg?rlkey=u6nx92jxdo3kf1xoym7y8by4d&amp;dl=0","Click to download Image")</f>
      </c>
      <c r="C3264" s="0" t="inlineStr">
        <is>
          <t>Gavin Hardshell Backpack</t>
        </is>
      </c>
      <c r="D3264" s="1">
        <v>95977</v>
      </c>
      <c r="E3264" s="0" t="inlineStr">
        <is>
          <t>GAVIN:95977</t>
        </is>
      </c>
      <c r="F3264" s="2">
        <v>90009597701</v>
      </c>
      <c r="I3264" s="0">
        <v>59.99</v>
      </c>
      <c r="J3264" s="0">
        <v>113</v>
      </c>
    </row>
    <row r="3265" spans="1:10" customHeight="0">
      <c r="A3265" s="0">
        <f>HYPERLINK("https://dl.dropboxusercontent.com/scl/fi/ty5f1kccdt3wob260benq/mary-02.jpg?rlkey=l925ldas2ieesmkan5b7w40ka&amp;dl=0","Click to download Image")</f>
      </c>
      <c r="B3265" s="0">
        <f>HYPERLINK("https://dl.dropboxusercontent.com/scl/fi/rh0prmro60p6ckgwnzl4j/size-chartswomens-standard-fitted-shirt.jpg?rlkey=8t03psikxizu1k8ynj19n1iwx&amp;dl=0","Click to download SizeChart")</f>
      </c>
      <c r="C3265" s="0" t="inlineStr">
        <is>
          <t>Mary Women's Long Sleeve Shirt</t>
        </is>
      </c>
      <c r="D3265" s="1">
        <v>98427</v>
      </c>
      <c r="E3265" s="0" t="inlineStr">
        <is>
          <t>MARY:98427A-S</t>
        </is>
      </c>
      <c r="G3265" s="0" t="inlineStr">
        <is>
          <t>WOMENS</t>
        </is>
      </c>
      <c r="H3265" s="0" t="inlineStr">
        <is>
          <t>S</t>
        </is>
      </c>
      <c r="I3265" s="0">
        <v>42.99</v>
      </c>
      <c r="J3265" s="0">
        <v>19</v>
      </c>
    </row>
    <row r="3266" spans="1:10" customHeight="0">
      <c r="A3266" s="0">
        <f>HYPERLINK("https://dl.dropboxusercontent.com/scl/fi/ty5f1kccdt3wob260benq/mary-02.jpg?rlkey=l925ldas2ieesmkan5b7w40ka&amp;dl=0","Click to download Image")</f>
      </c>
      <c r="B3266" s="0">
        <f>HYPERLINK("https://dl.dropboxusercontent.com/scl/fi/rh0prmro60p6ckgwnzl4j/size-chartswomens-standard-fitted-shirt.jpg?rlkey=8t03psikxizu1k8ynj19n1iwx&amp;dl=0","Click to download SizeChart")</f>
      </c>
      <c r="C3266" s="0" t="inlineStr">
        <is>
          <t>Mary Women's Long Sleeve Shirt</t>
        </is>
      </c>
      <c r="D3266" s="1">
        <v>98427</v>
      </c>
      <c r="E3266" s="0" t="inlineStr">
        <is>
          <t>MARY:98427B-M</t>
        </is>
      </c>
      <c r="G3266" s="0" t="inlineStr">
        <is>
          <t>WOMENS</t>
        </is>
      </c>
      <c r="H3266" s="0" t="inlineStr">
        <is>
          <t>M</t>
        </is>
      </c>
      <c r="I3266" s="0">
        <v>42.99</v>
      </c>
      <c r="J3266" s="0">
        <v>22</v>
      </c>
    </row>
    <row r="3267" spans="1:10" customHeight="0">
      <c r="A3267" s="0">
        <f>HYPERLINK("https://dl.dropboxusercontent.com/scl/fi/ty5f1kccdt3wob260benq/mary-02.jpg?rlkey=l925ldas2ieesmkan5b7w40ka&amp;dl=0","Click to download Image")</f>
      </c>
      <c r="B3267" s="0">
        <f>HYPERLINK("https://dl.dropboxusercontent.com/scl/fi/rh0prmro60p6ckgwnzl4j/size-chartswomens-standard-fitted-shirt.jpg?rlkey=8t03psikxizu1k8ynj19n1iwx&amp;dl=0","Click to download SizeChart")</f>
      </c>
      <c r="C3267" s="0" t="inlineStr">
        <is>
          <t>Mary Women's Long Sleeve Shirt</t>
        </is>
      </c>
      <c r="D3267" s="1">
        <v>98427</v>
      </c>
      <c r="E3267" s="0" t="inlineStr">
        <is>
          <t>MARY:98427C-L</t>
        </is>
      </c>
      <c r="G3267" s="0" t="inlineStr">
        <is>
          <t>WOMENS</t>
        </is>
      </c>
      <c r="H3267" s="0" t="inlineStr">
        <is>
          <t>L</t>
        </is>
      </c>
      <c r="I3267" s="0">
        <v>42.99</v>
      </c>
      <c r="J3267" s="0">
        <v>49</v>
      </c>
    </row>
    <row r="3268" spans="1:10" customHeight="0">
      <c r="A3268" s="0">
        <f>HYPERLINK("https://dl.dropboxusercontent.com/scl/fi/ty5f1kccdt3wob260benq/mary-02.jpg?rlkey=l925ldas2ieesmkan5b7w40ka&amp;dl=0","Click to download Image")</f>
      </c>
      <c r="B3268" s="0">
        <f>HYPERLINK("https://dl.dropboxusercontent.com/scl/fi/rh0prmro60p6ckgwnzl4j/size-chartswomens-standard-fitted-shirt.jpg?rlkey=8t03psikxizu1k8ynj19n1iwx&amp;dl=0","Click to download SizeChart")</f>
      </c>
      <c r="C3268" s="0" t="inlineStr">
        <is>
          <t>Mary Women's Long Sleeve Shirt</t>
        </is>
      </c>
      <c r="D3268" s="1">
        <v>98427</v>
      </c>
      <c r="E3268" s="0" t="inlineStr">
        <is>
          <t>MARY:98427D-XL</t>
        </is>
      </c>
      <c r="G3268" s="0" t="inlineStr">
        <is>
          <t>WOMENS</t>
        </is>
      </c>
      <c r="H3268" s="0" t="inlineStr">
        <is>
          <t>XL</t>
        </is>
      </c>
      <c r="I3268" s="0">
        <v>42.99</v>
      </c>
      <c r="J3268" s="0">
        <v>71</v>
      </c>
    </row>
    <row r="3269" spans="1:10" customHeight="0">
      <c r="A3269" s="0">
        <f>HYPERLINK("https://dl.dropboxusercontent.com/scl/fi/ty5f1kccdt3wob260benq/mary-02.jpg?rlkey=l925ldas2ieesmkan5b7w40ka&amp;dl=0","Click to download Image")</f>
      </c>
      <c r="B3269" s="0">
        <f>HYPERLINK("https://dl.dropboxusercontent.com/scl/fi/rh0prmro60p6ckgwnzl4j/size-chartswomens-standard-fitted-shirt.jpg?rlkey=8t03psikxizu1k8ynj19n1iwx&amp;dl=0","Click to download SizeChart")</f>
      </c>
      <c r="C3269" s="0" t="inlineStr">
        <is>
          <t>Mary Women's Long Sleeve Shirt</t>
        </is>
      </c>
      <c r="D3269" s="1">
        <v>98427</v>
      </c>
      <c r="E3269" s="0" t="inlineStr">
        <is>
          <t>MARY:98427E-2XL</t>
        </is>
      </c>
      <c r="G3269" s="0" t="inlineStr">
        <is>
          <t>WOMENS</t>
        </is>
      </c>
      <c r="H3269" s="0" t="inlineStr">
        <is>
          <t>2XL</t>
        </is>
      </c>
      <c r="I3269" s="0">
        <v>44.99</v>
      </c>
      <c r="J3269" s="0">
        <v>73</v>
      </c>
    </row>
    <row r="3270" spans="1:10" customHeight="0">
      <c r="A3270" s="0">
        <f>HYPERLINK("https://dl.dropboxusercontent.com/scl/fi/ty5f1kccdt3wob260benq/mary-02.jpg?rlkey=l925ldas2ieesmkan5b7w40ka&amp;dl=0","Click to download Image")</f>
      </c>
      <c r="B3270" s="0">
        <f>HYPERLINK("https://dl.dropboxusercontent.com/scl/fi/rh0prmro60p6ckgwnzl4j/size-chartswomens-standard-fitted-shirt.jpg?rlkey=8t03psikxizu1k8ynj19n1iwx&amp;dl=0","Click to download SizeChart")</f>
      </c>
      <c r="C3270" s="0" t="inlineStr">
        <is>
          <t>Mary Women's Long Sleeve Shirt</t>
        </is>
      </c>
      <c r="D3270" s="1">
        <v>98427</v>
      </c>
      <c r="E3270" s="0" t="inlineStr">
        <is>
          <t>MARY:98427F-3XL</t>
        </is>
      </c>
      <c r="G3270" s="0" t="inlineStr">
        <is>
          <t>WOMENS</t>
        </is>
      </c>
      <c r="H3270" s="0" t="inlineStr">
        <is>
          <t>3XL</t>
        </is>
      </c>
      <c r="I3270" s="0">
        <v>44.99</v>
      </c>
      <c r="J3270" s="0">
        <v>30</v>
      </c>
    </row>
    <row r="3271" spans="1:10" customHeight="0">
      <c r="A3271" s="0">
        <f>HYPERLINK("https://dl.dropboxusercontent.com/scl/fi/951r3uxc5meox6dnniucg/98046-af.jpg?rlkey=3p3zktvbff4svr35gc01q4ulg&amp;dl=0","Click to download Image")</f>
      </c>
      <c r="B3271" s="0">
        <f>HYPERLINK("https://dl.dropboxusercontent.com/scl/fi/fvlwf4ngilkfqsrjjh9dm/graphic-update2022-youth.jpg?rlkey=mnozhroh0u2lokio505r80x2c&amp;dl=0","Click to download SizeChart")</f>
      </c>
      <c r="C3271" s="0" t="inlineStr">
        <is>
          <t>Ada Youth Long Sleeve</t>
        </is>
      </c>
      <c r="D3271" s="1">
        <v>98046</v>
      </c>
      <c r="E3271" s="0" t="inlineStr">
        <is>
          <t>ADA:98046A-S</t>
        </is>
      </c>
      <c r="G3271" s="0" t="inlineStr">
        <is>
          <t>YOUTH</t>
        </is>
      </c>
      <c r="H3271" s="0" t="inlineStr">
        <is>
          <t>YS</t>
        </is>
      </c>
      <c r="I3271" s="0">
        <v>39.99</v>
      </c>
      <c r="J3271" s="0">
        <v>25</v>
      </c>
    </row>
    <row r="3272" spans="1:10" customHeight="0">
      <c r="A3272" s="0">
        <f>HYPERLINK("https://dl.dropboxusercontent.com/scl/fi/951r3uxc5meox6dnniucg/98046-af.jpg?rlkey=3p3zktvbff4svr35gc01q4ulg&amp;dl=0","Click to download Image")</f>
      </c>
      <c r="B3272" s="0">
        <f>HYPERLINK("https://dl.dropboxusercontent.com/scl/fi/fvlwf4ngilkfqsrjjh9dm/graphic-update2022-youth.jpg?rlkey=mnozhroh0u2lokio505r80x2c&amp;dl=0","Click to download SizeChart")</f>
      </c>
      <c r="C3272" s="0" t="inlineStr">
        <is>
          <t>Ada Youth Long Sleeve</t>
        </is>
      </c>
      <c r="D3272" s="1">
        <v>98046</v>
      </c>
      <c r="E3272" s="0" t="inlineStr">
        <is>
          <t>ADA:98046B-M</t>
        </is>
      </c>
      <c r="G3272" s="0" t="inlineStr">
        <is>
          <t>YOUTH</t>
        </is>
      </c>
      <c r="H3272" s="0" t="inlineStr">
        <is>
          <t>YM</t>
        </is>
      </c>
      <c r="I3272" s="0">
        <v>39.99</v>
      </c>
      <c r="J3272" s="0">
        <v>25</v>
      </c>
    </row>
    <row r="3273" spans="1:10" customHeight="0">
      <c r="A3273" s="0">
        <f>HYPERLINK("https://dl.dropboxusercontent.com/scl/fi/951r3uxc5meox6dnniucg/98046-af.jpg?rlkey=3p3zktvbff4svr35gc01q4ulg&amp;dl=0","Click to download Image")</f>
      </c>
      <c r="B3273" s="0">
        <f>HYPERLINK("https://dl.dropboxusercontent.com/scl/fi/fvlwf4ngilkfqsrjjh9dm/graphic-update2022-youth.jpg?rlkey=mnozhroh0u2lokio505r80x2c&amp;dl=0","Click to download SizeChart")</f>
      </c>
      <c r="C3273" s="0" t="inlineStr">
        <is>
          <t>Ada Youth Long Sleeve</t>
        </is>
      </c>
      <c r="D3273" s="1">
        <v>98046</v>
      </c>
      <c r="E3273" s="0" t="inlineStr">
        <is>
          <t>ADA:98046C-L</t>
        </is>
      </c>
      <c r="G3273" s="0" t="inlineStr">
        <is>
          <t>YOUTH</t>
        </is>
      </c>
      <c r="H3273" s="0" t="inlineStr">
        <is>
          <t>YL</t>
        </is>
      </c>
      <c r="I3273" s="0">
        <v>39.99</v>
      </c>
      <c r="J3273" s="0">
        <v>23</v>
      </c>
    </row>
    <row r="3274" spans="1:10" customHeight="0">
      <c r="A3274" s="0">
        <f>HYPERLINK("https://dl.dropboxusercontent.com/scl/fi/951r3uxc5meox6dnniucg/98046-af.jpg?rlkey=3p3zktvbff4svr35gc01q4ulg&amp;dl=0","Click to download Image")</f>
      </c>
      <c r="B3274" s="0">
        <f>HYPERLINK("https://dl.dropboxusercontent.com/scl/fi/fvlwf4ngilkfqsrjjh9dm/graphic-update2022-youth.jpg?rlkey=mnozhroh0u2lokio505r80x2c&amp;dl=0","Click to download SizeChart")</f>
      </c>
      <c r="C3274" s="0" t="inlineStr">
        <is>
          <t>Ada Youth Long Sleeve</t>
        </is>
      </c>
      <c r="D3274" s="1">
        <v>98046</v>
      </c>
      <c r="E3274" s="0" t="inlineStr">
        <is>
          <t>ADA:98046D-XL</t>
        </is>
      </c>
      <c r="G3274" s="0" t="inlineStr">
        <is>
          <t>YOUTH</t>
        </is>
      </c>
      <c r="H3274" s="0" t="inlineStr">
        <is>
          <t>YXL</t>
        </is>
      </c>
      <c r="I3274" s="0">
        <v>39.99</v>
      </c>
      <c r="J3274" s="0">
        <v>40</v>
      </c>
    </row>
    <row r="3275" spans="1:10" customHeight="0">
      <c r="A3275" s="0">
        <f>HYPERLINK("https://dl.dropboxusercontent.com/scl/fi/sjha0bdukmzb9hslt93mj/mia.jpg?rlkey=m78eckxw4ny0zt9wuni9yh6s1&amp;dl=0","Click to download Image")</f>
      </c>
      <c r="B3275" s="0">
        <f>HYPERLINK("https://dl.dropboxusercontent.com/scl/fi/63o37qtt0j09u9qsd1qkz/size-chartladies-h.jpg?rlkey=75226rzf13mwnxzb61wtuhvig&amp;dl=0","Click to download SizeChart")</f>
      </c>
      <c r="C3275" s="0" t="inlineStr">
        <is>
          <t>Mia Women's Polo</t>
        </is>
      </c>
      <c r="D3275" s="1">
        <v>96837</v>
      </c>
      <c r="E3275" s="0" t="inlineStr">
        <is>
          <t>MIA:96837A-S</t>
        </is>
      </c>
      <c r="G3275" s="0" t="inlineStr">
        <is>
          <t>WOMENS</t>
        </is>
      </c>
      <c r="H3275" s="0" t="inlineStr">
        <is>
          <t>S</t>
        </is>
      </c>
      <c r="I3275" s="0">
        <v>44.99</v>
      </c>
      <c r="J3275" s="0">
        <v>54</v>
      </c>
    </row>
    <row r="3276" spans="1:10" customHeight="0">
      <c r="A3276" s="0">
        <f>HYPERLINK("https://dl.dropboxusercontent.com/scl/fi/sjha0bdukmzb9hslt93mj/mia.jpg?rlkey=m78eckxw4ny0zt9wuni9yh6s1&amp;dl=0","Click to download Image")</f>
      </c>
      <c r="B3276" s="0">
        <f>HYPERLINK("https://dl.dropboxusercontent.com/scl/fi/63o37qtt0j09u9qsd1qkz/size-chartladies-h.jpg?rlkey=75226rzf13mwnxzb61wtuhvig&amp;dl=0","Click to download SizeChart")</f>
      </c>
      <c r="C3276" s="0" t="inlineStr">
        <is>
          <t>Mia Women's Polo</t>
        </is>
      </c>
      <c r="D3276" s="1">
        <v>96837</v>
      </c>
      <c r="E3276" s="0" t="inlineStr">
        <is>
          <t>MIA:96837B-M</t>
        </is>
      </c>
      <c r="G3276" s="0" t="inlineStr">
        <is>
          <t>WOMENS</t>
        </is>
      </c>
      <c r="H3276" s="0" t="inlineStr">
        <is>
          <t>M</t>
        </is>
      </c>
      <c r="I3276" s="0">
        <v>44.99</v>
      </c>
      <c r="J3276" s="0">
        <v>66</v>
      </c>
    </row>
    <row r="3277" spans="1:10" customHeight="0">
      <c r="A3277" s="0">
        <f>HYPERLINK("https://dl.dropboxusercontent.com/scl/fi/sjha0bdukmzb9hslt93mj/mia.jpg?rlkey=m78eckxw4ny0zt9wuni9yh6s1&amp;dl=0","Click to download Image")</f>
      </c>
      <c r="B3277" s="0">
        <f>HYPERLINK("https://dl.dropboxusercontent.com/scl/fi/63o37qtt0j09u9qsd1qkz/size-chartladies-h.jpg?rlkey=75226rzf13mwnxzb61wtuhvig&amp;dl=0","Click to download SizeChart")</f>
      </c>
      <c r="C3277" s="0" t="inlineStr">
        <is>
          <t>Mia Women's Polo</t>
        </is>
      </c>
      <c r="D3277" s="1">
        <v>96837</v>
      </c>
      <c r="E3277" s="0" t="inlineStr">
        <is>
          <t>MIA:96837C-L</t>
        </is>
      </c>
      <c r="G3277" s="0" t="inlineStr">
        <is>
          <t>WOMENS</t>
        </is>
      </c>
      <c r="H3277" s="0" t="inlineStr">
        <is>
          <t>L</t>
        </is>
      </c>
      <c r="I3277" s="0">
        <v>44.99</v>
      </c>
      <c r="J3277" s="0">
        <v>132</v>
      </c>
    </row>
    <row r="3278" spans="1:10" customHeight="0">
      <c r="A3278" s="0">
        <f>HYPERLINK("https://dl.dropboxusercontent.com/scl/fi/sjha0bdukmzb9hslt93mj/mia.jpg?rlkey=m78eckxw4ny0zt9wuni9yh6s1&amp;dl=0","Click to download Image")</f>
      </c>
      <c r="B3278" s="0">
        <f>HYPERLINK("https://dl.dropboxusercontent.com/scl/fi/63o37qtt0j09u9qsd1qkz/size-chartladies-h.jpg?rlkey=75226rzf13mwnxzb61wtuhvig&amp;dl=0","Click to download SizeChart")</f>
      </c>
      <c r="C3278" s="0" t="inlineStr">
        <is>
          <t>Mia Women's Polo</t>
        </is>
      </c>
      <c r="D3278" s="1">
        <v>96837</v>
      </c>
      <c r="E3278" s="0" t="inlineStr">
        <is>
          <t>MIA:96837D-XL</t>
        </is>
      </c>
      <c r="G3278" s="0" t="inlineStr">
        <is>
          <t>WOMENS</t>
        </is>
      </c>
      <c r="H3278" s="0" t="inlineStr">
        <is>
          <t>XL</t>
        </is>
      </c>
      <c r="I3278" s="0">
        <v>44.99</v>
      </c>
      <c r="J3278" s="0">
        <v>139</v>
      </c>
    </row>
    <row r="3279" spans="1:10" customHeight="0">
      <c r="A3279" s="0">
        <f>HYPERLINK("https://dl.dropboxusercontent.com/scl/fi/sjha0bdukmzb9hslt93mj/mia.jpg?rlkey=m78eckxw4ny0zt9wuni9yh6s1&amp;dl=0","Click to download Image")</f>
      </c>
      <c r="B3279" s="0">
        <f>HYPERLINK("https://dl.dropboxusercontent.com/scl/fi/63o37qtt0j09u9qsd1qkz/size-chartladies-h.jpg?rlkey=75226rzf13mwnxzb61wtuhvig&amp;dl=0","Click to download SizeChart")</f>
      </c>
      <c r="C3279" s="0" t="inlineStr">
        <is>
          <t>Mia Women's Polo</t>
        </is>
      </c>
      <c r="D3279" s="1">
        <v>96837</v>
      </c>
      <c r="E3279" s="0" t="inlineStr">
        <is>
          <t>MIA:96837E-2XL</t>
        </is>
      </c>
      <c r="G3279" s="0" t="inlineStr">
        <is>
          <t>WOMENS</t>
        </is>
      </c>
      <c r="H3279" s="0" t="inlineStr">
        <is>
          <t>2XL</t>
        </is>
      </c>
      <c r="I3279" s="0">
        <v>46.99</v>
      </c>
      <c r="J3279" s="0">
        <v>48</v>
      </c>
    </row>
    <row r="3280" spans="1:10" customHeight="0">
      <c r="A3280" s="0">
        <f>HYPERLINK("https://dl.dropboxusercontent.com/scl/fi/2r03vy1gvff2is0d3jv21/98227af.jpg?rlkey=xi4hqwvcxajzqo5uacpfd36pp&amp;dl=0","Click to download Image")</f>
      </c>
      <c r="C3280" s="0" t="inlineStr">
        <is>
          <t>Keeley Women's Cap</t>
        </is>
      </c>
      <c r="D3280" s="1">
        <v>98227</v>
      </c>
      <c r="E3280" s="0" t="inlineStr">
        <is>
          <t>KEELEY:98227</t>
        </is>
      </c>
      <c r="G3280" s="0" t="inlineStr">
        <is>
          <t>WOMENS</t>
        </is>
      </c>
      <c r="H3280" s="0" t="inlineStr">
        <is>
          <t>WOMENS</t>
        </is>
      </c>
      <c r="I3280" s="0">
        <v>21.99</v>
      </c>
      <c r="J3280" s="0">
        <v>128</v>
      </c>
    </row>
    <row r="3281" spans="1:10" customHeight="0">
      <c r="A3281" s="0">
        <f>HYPERLINK("https://dl.dropboxusercontent.com/scl/fi/c5eqfggrrmiv397ujztlf/maddison-03.jpg?rlkey=pw1hfa8q6ljl90avtt1a9c3l8&amp;dl=0","Click to download Image")</f>
      </c>
      <c r="B3281" s="0">
        <f>HYPERLINK("https://dl.dropboxusercontent.com/scl/fi/ho8o4ghxf30u4qb3kmqrt/size-chartyouth-c.jpg?rlkey=9c9r96trmkb0sn4vu2w29kmht&amp;dl=0","Click to download SizeChart")</f>
      </c>
      <c r="C3281" s="0" t="inlineStr">
        <is>
          <t>Maddison Youth Long Sleeve Shirt</t>
        </is>
      </c>
      <c r="D3281" s="1">
        <v>94879</v>
      </c>
      <c r="E3281" s="0" t="inlineStr">
        <is>
          <t>MADDISON YOUTH:94879A-S</t>
        </is>
      </c>
      <c r="G3281" s="0" t="inlineStr">
        <is>
          <t>YOUTH</t>
        </is>
      </c>
      <c r="H3281" s="0" t="inlineStr">
        <is>
          <t>YS</t>
        </is>
      </c>
      <c r="I3281" s="0">
        <v>39.99</v>
      </c>
      <c r="J3281" s="0">
        <v>45</v>
      </c>
    </row>
    <row r="3282" spans="1:10" customHeight="0">
      <c r="A3282" s="0">
        <f>HYPERLINK("https://dl.dropboxusercontent.com/scl/fi/c5eqfggrrmiv397ujztlf/maddison-03.jpg?rlkey=pw1hfa8q6ljl90avtt1a9c3l8&amp;dl=0","Click to download Image")</f>
      </c>
      <c r="B3282" s="0">
        <f>HYPERLINK("https://dl.dropboxusercontent.com/scl/fi/ho8o4ghxf30u4qb3kmqrt/size-chartyouth-c.jpg?rlkey=9c9r96trmkb0sn4vu2w29kmht&amp;dl=0","Click to download SizeChart")</f>
      </c>
      <c r="C3282" s="0" t="inlineStr">
        <is>
          <t>Maddison Youth Long Sleeve Shirt</t>
        </is>
      </c>
      <c r="D3282" s="1">
        <v>94879</v>
      </c>
      <c r="E3282" s="0" t="inlineStr">
        <is>
          <t>MADDISON YOUTH:94879B-M</t>
        </is>
      </c>
      <c r="G3282" s="0" t="inlineStr">
        <is>
          <t>YOUTH</t>
        </is>
      </c>
      <c r="H3282" s="0" t="inlineStr">
        <is>
          <t>YM</t>
        </is>
      </c>
      <c r="I3282" s="0">
        <v>39.99</v>
      </c>
      <c r="J3282" s="0">
        <v>42</v>
      </c>
    </row>
    <row r="3283" spans="1:10" customHeight="0">
      <c r="A3283" s="0">
        <f>HYPERLINK("https://dl.dropboxusercontent.com/scl/fi/c5eqfggrrmiv397ujztlf/maddison-03.jpg?rlkey=pw1hfa8q6ljl90avtt1a9c3l8&amp;dl=0","Click to download Image")</f>
      </c>
      <c r="B3283" s="0">
        <f>HYPERLINK("https://dl.dropboxusercontent.com/scl/fi/ho8o4ghxf30u4qb3kmqrt/size-chartyouth-c.jpg?rlkey=9c9r96trmkb0sn4vu2w29kmht&amp;dl=0","Click to download SizeChart")</f>
      </c>
      <c r="C3283" s="0" t="inlineStr">
        <is>
          <t>Maddison Youth Long Sleeve Shirt</t>
        </is>
      </c>
      <c r="D3283" s="1">
        <v>94879</v>
      </c>
      <c r="E3283" s="0" t="inlineStr">
        <is>
          <t>MADDISON YOUTH:94879C-L</t>
        </is>
      </c>
      <c r="G3283" s="0" t="inlineStr">
        <is>
          <t>YOUTH</t>
        </is>
      </c>
      <c r="H3283" s="0" t="inlineStr">
        <is>
          <t>YL</t>
        </is>
      </c>
      <c r="I3283" s="0">
        <v>39.99</v>
      </c>
      <c r="J3283" s="0">
        <v>43</v>
      </c>
    </row>
    <row r="3284" spans="1:10" customHeight="0">
      <c r="A3284" s="0">
        <f>HYPERLINK("https://dl.dropboxusercontent.com/scl/fi/c5eqfggrrmiv397ujztlf/maddison-03.jpg?rlkey=pw1hfa8q6ljl90avtt1a9c3l8&amp;dl=0","Click to download Image")</f>
      </c>
      <c r="B3284" s="0">
        <f>HYPERLINK("https://dl.dropboxusercontent.com/scl/fi/ho8o4ghxf30u4qb3kmqrt/size-chartyouth-c.jpg?rlkey=9c9r96trmkb0sn4vu2w29kmht&amp;dl=0","Click to download SizeChart")</f>
      </c>
      <c r="C3284" s="0" t="inlineStr">
        <is>
          <t>Maddison Youth Long Sleeve Shirt</t>
        </is>
      </c>
      <c r="D3284" s="1">
        <v>94879</v>
      </c>
      <c r="E3284" s="0" t="inlineStr">
        <is>
          <t>MADDISON YOUTH:94879D-XL</t>
        </is>
      </c>
      <c r="G3284" s="0" t="inlineStr">
        <is>
          <t>YOUTH</t>
        </is>
      </c>
      <c r="H3284" s="0" t="inlineStr">
        <is>
          <t>YXL</t>
        </is>
      </c>
      <c r="I3284" s="0">
        <v>39.99</v>
      </c>
      <c r="J3284" s="0">
        <v>45</v>
      </c>
    </row>
    <row r="3285" spans="1:10" customHeight="0">
      <c r="A3285" s="0">
        <f>HYPERLINK("https://dl.dropboxusercontent.com/scl/fi/jdog8jth4dsxcnzm9grwy/maddison-03.jpg?rlkey=rdo3y5lb10v0tjgadf6iqxqr1&amp;dl=0","Click to download Image")</f>
      </c>
      <c r="B3285" s="0">
        <f>HYPERLINK("https://dl.dropboxusercontent.com/scl/fi/2v14yyerdlwgecg833wve/size-charttoddler-a.jpg?rlkey=0p0vzkafm17lyg1jd007teml8&amp;dl=0","Click to download SizeChart")</f>
      </c>
      <c r="C3285" s="0" t="inlineStr">
        <is>
          <t>Maddison Toddler Long Sleeve Shirt</t>
        </is>
      </c>
      <c r="D3285" s="1">
        <v>95354</v>
      </c>
      <c r="E3285" s="0" t="inlineStr">
        <is>
          <t>MADDISON TODDLER:95354A-2T</t>
        </is>
      </c>
      <c r="G3285" s="0" t="inlineStr">
        <is>
          <t>TODDLER</t>
        </is>
      </c>
      <c r="H3285" s="0" t="inlineStr">
        <is>
          <t>2T</t>
        </is>
      </c>
      <c r="I3285" s="0">
        <v>39.99</v>
      </c>
      <c r="J3285" s="0">
        <v>30</v>
      </c>
    </row>
    <row r="3286" spans="1:10" customHeight="0">
      <c r="A3286" s="0">
        <f>HYPERLINK("https://dl.dropboxusercontent.com/scl/fi/jdog8jth4dsxcnzm9grwy/maddison-03.jpg?rlkey=rdo3y5lb10v0tjgadf6iqxqr1&amp;dl=0","Click to download Image")</f>
      </c>
      <c r="B3286" s="0">
        <f>HYPERLINK("https://dl.dropboxusercontent.com/scl/fi/2v14yyerdlwgecg833wve/size-charttoddler-a.jpg?rlkey=0p0vzkafm17lyg1jd007teml8&amp;dl=0","Click to download SizeChart")</f>
      </c>
      <c r="C3286" s="0" t="inlineStr">
        <is>
          <t>Maddison Toddler Long Sleeve Shirt</t>
        </is>
      </c>
      <c r="D3286" s="1">
        <v>95354</v>
      </c>
      <c r="E3286" s="0" t="inlineStr">
        <is>
          <t>MADDISON TODDLER:95354B-3T</t>
        </is>
      </c>
      <c r="G3286" s="0" t="inlineStr">
        <is>
          <t>TODDLER</t>
        </is>
      </c>
      <c r="H3286" s="0" t="inlineStr">
        <is>
          <t>3T</t>
        </is>
      </c>
      <c r="I3286" s="0">
        <v>39.99</v>
      </c>
      <c r="J3286" s="0">
        <v>29</v>
      </c>
    </row>
    <row r="3287" spans="1:10" customHeight="0">
      <c r="A3287" s="0">
        <f>HYPERLINK("https://dl.dropboxusercontent.com/scl/fi/jdog8jth4dsxcnzm9grwy/maddison-03.jpg?rlkey=rdo3y5lb10v0tjgadf6iqxqr1&amp;dl=0","Click to download Image")</f>
      </c>
      <c r="B3287" s="0">
        <f>HYPERLINK("https://dl.dropboxusercontent.com/scl/fi/2v14yyerdlwgecg833wve/size-charttoddler-a.jpg?rlkey=0p0vzkafm17lyg1jd007teml8&amp;dl=0","Click to download SizeChart")</f>
      </c>
      <c r="C3287" s="0" t="inlineStr">
        <is>
          <t>Maddison Toddler Long Sleeve Shirt</t>
        </is>
      </c>
      <c r="D3287" s="1">
        <v>95354</v>
      </c>
      <c r="E3287" s="0" t="inlineStr">
        <is>
          <t>MADDISON TODDLER:95354C-4T</t>
        </is>
      </c>
      <c r="G3287" s="0" t="inlineStr">
        <is>
          <t>TODDLER</t>
        </is>
      </c>
      <c r="H3287" s="0" t="inlineStr">
        <is>
          <t>4T</t>
        </is>
      </c>
      <c r="I3287" s="0">
        <v>39.99</v>
      </c>
      <c r="J3287" s="0">
        <v>28</v>
      </c>
    </row>
    <row r="3288" spans="1:10" customHeight="0">
      <c r="A3288" s="0">
        <f>HYPERLINK("https://dl.dropboxusercontent.com/scl/fi/jdog8jth4dsxcnzm9grwy/maddison-03.jpg?rlkey=rdo3y5lb10v0tjgadf6iqxqr1&amp;dl=0","Click to download Image")</f>
      </c>
      <c r="B3288" s="0">
        <f>HYPERLINK("https://dl.dropboxusercontent.com/scl/fi/2v14yyerdlwgecg833wve/size-charttoddler-a.jpg?rlkey=0p0vzkafm17lyg1jd007teml8&amp;dl=0","Click to download SizeChart")</f>
      </c>
      <c r="C3288" s="0" t="inlineStr">
        <is>
          <t>Maddison Toddler Long Sleeve Shirt</t>
        </is>
      </c>
      <c r="D3288" s="1">
        <v>95354</v>
      </c>
      <c r="E3288" s="0" t="inlineStr">
        <is>
          <t>MADDISON TODDLER:95354D-5T</t>
        </is>
      </c>
      <c r="G3288" s="0" t="inlineStr">
        <is>
          <t>TODDLER</t>
        </is>
      </c>
      <c r="H3288" s="0" t="inlineStr">
        <is>
          <t>5T</t>
        </is>
      </c>
      <c r="I3288" s="0">
        <v>39.99</v>
      </c>
      <c r="J3288" s="0">
        <v>33</v>
      </c>
    </row>
    <row r="3289" spans="1:10" customHeight="0">
      <c r="A3289" s="0">
        <f>HYPERLINK("https://dl.dropboxusercontent.com/scl/fi/8ywgi3r525nqqdaqf4q2e/98424af-w.jpg?rlkey=3gkpni257o7gc1b7b3huk9840&amp;dl=0","Click to download Image")</f>
      </c>
      <c r="C3289" s="0" t="inlineStr">
        <is>
          <t>Katrina Reversible Beanie</t>
        </is>
      </c>
      <c r="D3289" s="1">
        <v>98424</v>
      </c>
      <c r="E3289" s="0" t="inlineStr">
        <is>
          <t>KATRINA:98424</t>
        </is>
      </c>
      <c r="G3289" s="0" t="inlineStr">
        <is>
          <t>WOMENS</t>
        </is>
      </c>
      <c r="H3289" s="0" t="inlineStr">
        <is>
          <t>WOMENS</t>
        </is>
      </c>
      <c r="I3289" s="0">
        <v>19.99</v>
      </c>
      <c r="J3289" s="0">
        <v>95</v>
      </c>
    </row>
    <row r="3290" spans="1:10" customHeight="0">
      <c r="A3290" s="0">
        <f>HYPERLINK("https://dl.dropboxusercontent.com/scl/fi/pehdf8nrr1nywtg22j135/max.jpg?rlkey=01b8smyrauxnmjjh7173j04nj&amp;dl=0","Click to download Image")</f>
      </c>
      <c r="B3290" s="0">
        <f>HYPERLINK("https://dl.dropboxusercontent.com/scl/fi/l30l453890tdtu4ltxhmw/size-chartyouth-b.jpg?rlkey=7z5l07qpe6ft9llqkvzw9w823&amp;dl=0","Click to download SizeChart")</f>
      </c>
      <c r="C3290" s="0" t="inlineStr">
        <is>
          <t>Max Youth Jacket</t>
        </is>
      </c>
      <c r="D3290" s="1">
        <v>98624</v>
      </c>
      <c r="E3290" s="0" t="inlineStr">
        <is>
          <t>MAX:98624A-YS</t>
        </is>
      </c>
      <c r="G3290" s="0" t="inlineStr">
        <is>
          <t>YOUTH</t>
        </is>
      </c>
      <c r="H3290" s="0" t="inlineStr">
        <is>
          <t>YS</t>
        </is>
      </c>
      <c r="I3290" s="0">
        <v>42.99</v>
      </c>
      <c r="J3290" s="0">
        <v>92</v>
      </c>
    </row>
    <row r="3291" spans="1:10" customHeight="0">
      <c r="A3291" s="0">
        <f>HYPERLINK("https://dl.dropboxusercontent.com/scl/fi/pehdf8nrr1nywtg22j135/max.jpg?rlkey=01b8smyrauxnmjjh7173j04nj&amp;dl=0","Click to download Image")</f>
      </c>
      <c r="B3291" s="0">
        <f>HYPERLINK("https://dl.dropboxusercontent.com/scl/fi/l30l453890tdtu4ltxhmw/size-chartyouth-b.jpg?rlkey=7z5l07qpe6ft9llqkvzw9w823&amp;dl=0","Click to download SizeChart")</f>
      </c>
      <c r="C3291" s="0" t="inlineStr">
        <is>
          <t>Max Youth Jacket</t>
        </is>
      </c>
      <c r="D3291" s="1">
        <v>98624</v>
      </c>
      <c r="E3291" s="0" t="inlineStr">
        <is>
          <t>MAX:98624B-YM</t>
        </is>
      </c>
      <c r="G3291" s="0" t="inlineStr">
        <is>
          <t>YOUTH</t>
        </is>
      </c>
      <c r="H3291" s="0" t="inlineStr">
        <is>
          <t>YM</t>
        </is>
      </c>
      <c r="I3291" s="0">
        <v>42.99</v>
      </c>
      <c r="J3291" s="0">
        <v>94</v>
      </c>
    </row>
    <row r="3292" spans="1:10" customHeight="0">
      <c r="A3292" s="0">
        <f>HYPERLINK("https://dl.dropboxusercontent.com/scl/fi/pehdf8nrr1nywtg22j135/max.jpg?rlkey=01b8smyrauxnmjjh7173j04nj&amp;dl=0","Click to download Image")</f>
      </c>
      <c r="B3292" s="0">
        <f>HYPERLINK("https://dl.dropboxusercontent.com/scl/fi/l30l453890tdtu4ltxhmw/size-chartyouth-b.jpg?rlkey=7z5l07qpe6ft9llqkvzw9w823&amp;dl=0","Click to download SizeChart")</f>
      </c>
      <c r="C3292" s="0" t="inlineStr">
        <is>
          <t>Max Youth Jacket</t>
        </is>
      </c>
      <c r="D3292" s="1">
        <v>98624</v>
      </c>
      <c r="E3292" s="0" t="inlineStr">
        <is>
          <t>MAX:98624C-YL</t>
        </is>
      </c>
      <c r="G3292" s="0" t="inlineStr">
        <is>
          <t>YOUTH</t>
        </is>
      </c>
      <c r="H3292" s="0" t="inlineStr">
        <is>
          <t>YL</t>
        </is>
      </c>
      <c r="I3292" s="0">
        <v>42.99</v>
      </c>
      <c r="J3292" s="0">
        <v>85</v>
      </c>
    </row>
    <row r="3293" spans="1:10" customHeight="0">
      <c r="A3293" s="0">
        <f>HYPERLINK("https://dl.dropboxusercontent.com/scl/fi/pehdf8nrr1nywtg22j135/max.jpg?rlkey=01b8smyrauxnmjjh7173j04nj&amp;dl=0","Click to download Image")</f>
      </c>
      <c r="B3293" s="0">
        <f>HYPERLINK("https://dl.dropboxusercontent.com/scl/fi/l30l453890tdtu4ltxhmw/size-chartyouth-b.jpg?rlkey=7z5l07qpe6ft9llqkvzw9w823&amp;dl=0","Click to download SizeChart")</f>
      </c>
      <c r="C3293" s="0" t="inlineStr">
        <is>
          <t>Max Youth Jacket</t>
        </is>
      </c>
      <c r="D3293" s="1">
        <v>98624</v>
      </c>
      <c r="E3293" s="0" t="inlineStr">
        <is>
          <t>MAX:98624D-YXL</t>
        </is>
      </c>
      <c r="G3293" s="0" t="inlineStr">
        <is>
          <t>YOUTH</t>
        </is>
      </c>
      <c r="H3293" s="0" t="inlineStr">
        <is>
          <t>YXL</t>
        </is>
      </c>
      <c r="I3293" s="0">
        <v>42.99</v>
      </c>
      <c r="J3293" s="0">
        <v>91</v>
      </c>
    </row>
    <row r="3294" spans="1:10" customHeight="0">
      <c r="A3294" s="0">
        <f>HYPERLINK("https://dl.dropboxusercontent.com/scl/fi/ttmndsw0mct01qyfafd6n/mason.jpg?rlkey=0mgqh9t3p5ov0lb6s600107h2&amp;dl=0","Click to download Image")</f>
      </c>
      <c r="B3294" s="0">
        <f>HYPERLINK("https://dl.dropboxusercontent.com/scl/fi/n24ikv89a4zp9fv16fpbn/size-chartyouth-b.jpg?rlkey=yl3m1nwdll6yc3i2tf3ee36bh&amp;dl=0","Click to download SizeChart")</f>
      </c>
      <c r="C3294" s="0" t="inlineStr">
        <is>
          <t>Mason Youth Hoodie</t>
        </is>
      </c>
      <c r="D3294" s="1">
        <v>95283</v>
      </c>
      <c r="E3294" s="0" t="inlineStr">
        <is>
          <t>MASON:95283A-S</t>
        </is>
      </c>
      <c r="G3294" s="0" t="inlineStr">
        <is>
          <t>YOUTH</t>
        </is>
      </c>
      <c r="H3294" s="0" t="inlineStr">
        <is>
          <t>YS</t>
        </is>
      </c>
      <c r="I3294" s="0">
        <v>44.99</v>
      </c>
      <c r="J3294" s="0">
        <v>27</v>
      </c>
    </row>
    <row r="3295" spans="1:10" customHeight="0">
      <c r="A3295" s="0">
        <f>HYPERLINK("https://dl.dropboxusercontent.com/scl/fi/ttmndsw0mct01qyfafd6n/mason.jpg?rlkey=0mgqh9t3p5ov0lb6s600107h2&amp;dl=0","Click to download Image")</f>
      </c>
      <c r="B3295" s="0">
        <f>HYPERLINK("https://dl.dropboxusercontent.com/scl/fi/n24ikv89a4zp9fv16fpbn/size-chartyouth-b.jpg?rlkey=yl3m1nwdll6yc3i2tf3ee36bh&amp;dl=0","Click to download SizeChart")</f>
      </c>
      <c r="C3295" s="0" t="inlineStr">
        <is>
          <t>Mason Youth Hoodie</t>
        </is>
      </c>
      <c r="D3295" s="1">
        <v>95283</v>
      </c>
      <c r="E3295" s="0" t="inlineStr">
        <is>
          <t>MASON:95283B-M</t>
        </is>
      </c>
      <c r="G3295" s="0" t="inlineStr">
        <is>
          <t>YOUTH</t>
        </is>
      </c>
      <c r="H3295" s="0" t="inlineStr">
        <is>
          <t>YM</t>
        </is>
      </c>
      <c r="I3295" s="0">
        <v>44.99</v>
      </c>
      <c r="J3295" s="0">
        <v>29</v>
      </c>
    </row>
    <row r="3296" spans="1:10" customHeight="0">
      <c r="A3296" s="0">
        <f>HYPERLINK("https://dl.dropboxusercontent.com/scl/fi/ttmndsw0mct01qyfafd6n/mason.jpg?rlkey=0mgqh9t3p5ov0lb6s600107h2&amp;dl=0","Click to download Image")</f>
      </c>
      <c r="B3296" s="0">
        <f>HYPERLINK("https://dl.dropboxusercontent.com/scl/fi/n24ikv89a4zp9fv16fpbn/size-chartyouth-b.jpg?rlkey=yl3m1nwdll6yc3i2tf3ee36bh&amp;dl=0","Click to download SizeChart")</f>
      </c>
      <c r="C3296" s="0" t="inlineStr">
        <is>
          <t>Mason Youth Hoodie</t>
        </is>
      </c>
      <c r="D3296" s="1">
        <v>95283</v>
      </c>
      <c r="E3296" s="0" t="inlineStr">
        <is>
          <t>MASON:95283C-L</t>
        </is>
      </c>
      <c r="G3296" s="0" t="inlineStr">
        <is>
          <t>YOUTH</t>
        </is>
      </c>
      <c r="H3296" s="0" t="inlineStr">
        <is>
          <t>YL</t>
        </is>
      </c>
      <c r="I3296" s="0">
        <v>44.99</v>
      </c>
      <c r="J3296" s="0">
        <v>26</v>
      </c>
    </row>
    <row r="3297" spans="1:10" customHeight="0">
      <c r="A3297" s="0">
        <f>HYPERLINK("https://dl.dropboxusercontent.com/scl/fi/ttmndsw0mct01qyfafd6n/mason.jpg?rlkey=0mgqh9t3p5ov0lb6s600107h2&amp;dl=0","Click to download Image")</f>
      </c>
      <c r="B3297" s="0">
        <f>HYPERLINK("https://dl.dropboxusercontent.com/scl/fi/n24ikv89a4zp9fv16fpbn/size-chartyouth-b.jpg?rlkey=yl3m1nwdll6yc3i2tf3ee36bh&amp;dl=0","Click to download SizeChart")</f>
      </c>
      <c r="C3297" s="0" t="inlineStr">
        <is>
          <t>Mason Youth Hoodie</t>
        </is>
      </c>
      <c r="D3297" s="1">
        <v>95283</v>
      </c>
      <c r="E3297" s="0" t="inlineStr">
        <is>
          <t>MASON:95283D-XL</t>
        </is>
      </c>
      <c r="G3297" s="0" t="inlineStr">
        <is>
          <t>YOUTH</t>
        </is>
      </c>
      <c r="H3297" s="0" t="inlineStr">
        <is>
          <t>YXL</t>
        </is>
      </c>
      <c r="I3297" s="0">
        <v>44.99</v>
      </c>
      <c r="J3297" s="0">
        <v>27</v>
      </c>
    </row>
    <row r="3298" spans="1:10" customHeight="0">
      <c r="A3298" s="0">
        <f>HYPERLINK("https://dl.dropboxusercontent.com/scl/fi/g2vjb4233ji36xisd472m/96420af.jpg?rlkey=rkawrq0i9c8dzziochip2gsg9&amp;dl=0","Click to download Image")</f>
      </c>
      <c r="B3298" s="0">
        <f>HYPERLINK("https://dl.dropboxusercontent.com/scl/fi/8j8p898vn27rc62wjptk8/graphic-update2022-womens.jpg?rlkey=y2kh142revxeqkw8duglr3h4g&amp;dl=0","Click to download SizeChart")</f>
      </c>
      <c r="C3298" s="0" t="inlineStr">
        <is>
          <t>Emma Women's Shorts</t>
        </is>
      </c>
      <c r="D3298" s="1">
        <v>96420</v>
      </c>
      <c r="E3298" s="0" t="inlineStr">
        <is>
          <t>EMMA:96420A-S</t>
        </is>
      </c>
      <c r="G3298" s="0" t="inlineStr">
        <is>
          <t>WOMENS</t>
        </is>
      </c>
      <c r="H3298" s="0" t="inlineStr">
        <is>
          <t>S</t>
        </is>
      </c>
      <c r="I3298" s="0">
        <v>39.99</v>
      </c>
      <c r="J3298" s="0">
        <v>0</v>
      </c>
    </row>
    <row r="3299" spans="1:10" customHeight="0">
      <c r="A3299" s="0">
        <f>HYPERLINK("https://dl.dropboxusercontent.com/scl/fi/g2vjb4233ji36xisd472m/96420af.jpg?rlkey=rkawrq0i9c8dzziochip2gsg9&amp;dl=0","Click to download Image")</f>
      </c>
      <c r="B3299" s="0">
        <f>HYPERLINK("https://dl.dropboxusercontent.com/scl/fi/8j8p898vn27rc62wjptk8/graphic-update2022-womens.jpg?rlkey=y2kh142revxeqkw8duglr3h4g&amp;dl=0","Click to download SizeChart")</f>
      </c>
      <c r="C3299" s="0" t="inlineStr">
        <is>
          <t>Emma Women's Shorts</t>
        </is>
      </c>
      <c r="D3299" s="1">
        <v>96420</v>
      </c>
      <c r="E3299" s="0" t="inlineStr">
        <is>
          <t>EMMA:96420B-M</t>
        </is>
      </c>
      <c r="G3299" s="0" t="inlineStr">
        <is>
          <t>WOMENS</t>
        </is>
      </c>
      <c r="H3299" s="0" t="inlineStr">
        <is>
          <t>M</t>
        </is>
      </c>
      <c r="I3299" s="0">
        <v>39.99</v>
      </c>
      <c r="J3299" s="0">
        <v>0</v>
      </c>
    </row>
    <row r="3300" spans="1:10" customHeight="0">
      <c r="A3300" s="0">
        <f>HYPERLINK("https://dl.dropboxusercontent.com/scl/fi/g2vjb4233ji36xisd472m/96420af.jpg?rlkey=rkawrq0i9c8dzziochip2gsg9&amp;dl=0","Click to download Image")</f>
      </c>
      <c r="B3300" s="0">
        <f>HYPERLINK("https://dl.dropboxusercontent.com/scl/fi/8j8p898vn27rc62wjptk8/graphic-update2022-womens.jpg?rlkey=y2kh142revxeqkw8duglr3h4g&amp;dl=0","Click to download SizeChart")</f>
      </c>
      <c r="C3300" s="0" t="inlineStr">
        <is>
          <t>Emma Women's Shorts</t>
        </is>
      </c>
      <c r="D3300" s="1">
        <v>96420</v>
      </c>
      <c r="E3300" s="0" t="inlineStr">
        <is>
          <t>EMMA:96420C-L</t>
        </is>
      </c>
      <c r="G3300" s="0" t="inlineStr">
        <is>
          <t>WOMENS</t>
        </is>
      </c>
      <c r="H3300" s="0" t="inlineStr">
        <is>
          <t>L</t>
        </is>
      </c>
      <c r="I3300" s="0">
        <v>39.99</v>
      </c>
      <c r="J3300" s="0">
        <v>46</v>
      </c>
    </row>
    <row r="3301" spans="1:10" customHeight="0">
      <c r="A3301" s="0">
        <f>HYPERLINK("https://dl.dropboxusercontent.com/scl/fi/g2vjb4233ji36xisd472m/96420af.jpg?rlkey=rkawrq0i9c8dzziochip2gsg9&amp;dl=0","Click to download Image")</f>
      </c>
      <c r="B3301" s="0">
        <f>HYPERLINK("https://dl.dropboxusercontent.com/scl/fi/8j8p898vn27rc62wjptk8/graphic-update2022-womens.jpg?rlkey=y2kh142revxeqkw8duglr3h4g&amp;dl=0","Click to download SizeChart")</f>
      </c>
      <c r="C3301" s="0" t="inlineStr">
        <is>
          <t>Emma Women's Shorts</t>
        </is>
      </c>
      <c r="D3301" s="1">
        <v>96420</v>
      </c>
      <c r="E3301" s="0" t="inlineStr">
        <is>
          <t>EMMA:96420D-XL</t>
        </is>
      </c>
      <c r="G3301" s="0" t="inlineStr">
        <is>
          <t>WOMENS</t>
        </is>
      </c>
      <c r="H3301" s="0" t="inlineStr">
        <is>
          <t>XL</t>
        </is>
      </c>
      <c r="I3301" s="0">
        <v>39.99</v>
      </c>
      <c r="J3301" s="0">
        <v>49</v>
      </c>
    </row>
    <row r="3302" spans="1:10" customHeight="0">
      <c r="A3302" s="0">
        <f>HYPERLINK("https://dl.dropboxusercontent.com/scl/fi/g2vjb4233ji36xisd472m/96420af.jpg?rlkey=rkawrq0i9c8dzziochip2gsg9&amp;dl=0","Click to download Image")</f>
      </c>
      <c r="B3302" s="0">
        <f>HYPERLINK("https://dl.dropboxusercontent.com/scl/fi/8j8p898vn27rc62wjptk8/graphic-update2022-womens.jpg?rlkey=y2kh142revxeqkw8duglr3h4g&amp;dl=0","Click to download SizeChart")</f>
      </c>
      <c r="C3302" s="0" t="inlineStr">
        <is>
          <t>Emma Women's Shorts</t>
        </is>
      </c>
      <c r="D3302" s="1">
        <v>96420</v>
      </c>
      <c r="E3302" s="0" t="inlineStr">
        <is>
          <t>EMMA:96420E-2XL</t>
        </is>
      </c>
      <c r="G3302" s="0" t="inlineStr">
        <is>
          <t>WOMENS</t>
        </is>
      </c>
      <c r="H3302" s="0" t="inlineStr">
        <is>
          <t>2XL</t>
        </is>
      </c>
      <c r="I3302" s="0">
        <v>41.99</v>
      </c>
      <c r="J3302" s="0">
        <v>9</v>
      </c>
    </row>
    <row r="3303" spans="1:10" customHeight="0">
      <c r="A3303" s="0">
        <f>HYPERLINK("https://dl.dropboxusercontent.com/scl/fi/r8tls7r0cfm52doyffrsf/marin.jpg?rlkey=ood1xdixbsw4xr9yl8l1dlu6y&amp;dl=0","Click to download Image")</f>
      </c>
      <c r="B3303" s="0">
        <f>HYPERLINK("https://dl.dropboxusercontent.com/scl/fi/l5x67ltcdbvagufgbuu98/size-chartswomens-standard-fitted-shirt.jpg?rlkey=hd7mkhwgvcc0a55r4ccbn0br6&amp;dl=0","Click to download SizeChart")</f>
      </c>
      <c r="C3303" s="0" t="inlineStr">
        <is>
          <t>Marin Women's Polo</t>
        </is>
      </c>
      <c r="D3303" s="1">
        <v>101139</v>
      </c>
      <c r="E3303" s="0" t="inlineStr">
        <is>
          <t>MARIN:101139A-S</t>
        </is>
      </c>
      <c r="G3303" s="0" t="inlineStr">
        <is>
          <t>WOMENS</t>
        </is>
      </c>
      <c r="H3303" s="0" t="inlineStr">
        <is>
          <t>S</t>
        </is>
      </c>
      <c r="I3303" s="0">
        <v>44.99</v>
      </c>
      <c r="J3303" s="0">
        <v>79</v>
      </c>
    </row>
    <row r="3304" spans="1:10" customHeight="0">
      <c r="A3304" s="0">
        <f>HYPERLINK("https://dl.dropboxusercontent.com/scl/fi/r8tls7r0cfm52doyffrsf/marin.jpg?rlkey=ood1xdixbsw4xr9yl8l1dlu6y&amp;dl=0","Click to download Image")</f>
      </c>
      <c r="B3304" s="0">
        <f>HYPERLINK("https://dl.dropboxusercontent.com/scl/fi/l5x67ltcdbvagufgbuu98/size-chartswomens-standard-fitted-shirt.jpg?rlkey=hd7mkhwgvcc0a55r4ccbn0br6&amp;dl=0","Click to download SizeChart")</f>
      </c>
      <c r="C3304" s="0" t="inlineStr">
        <is>
          <t>Marin Women's Polo</t>
        </is>
      </c>
      <c r="D3304" s="1">
        <v>101139</v>
      </c>
      <c r="E3304" s="0" t="inlineStr">
        <is>
          <t>MARIN:101139B-M</t>
        </is>
      </c>
      <c r="G3304" s="0" t="inlineStr">
        <is>
          <t>WOMENS</t>
        </is>
      </c>
      <c r="H3304" s="0" t="inlineStr">
        <is>
          <t>M</t>
        </is>
      </c>
      <c r="I3304" s="0">
        <v>44.99</v>
      </c>
      <c r="J3304" s="0">
        <v>90</v>
      </c>
    </row>
    <row r="3305" spans="1:10" customHeight="0">
      <c r="A3305" s="0">
        <f>HYPERLINK("https://dl.dropboxusercontent.com/scl/fi/r8tls7r0cfm52doyffrsf/marin.jpg?rlkey=ood1xdixbsw4xr9yl8l1dlu6y&amp;dl=0","Click to download Image")</f>
      </c>
      <c r="B3305" s="0">
        <f>HYPERLINK("https://dl.dropboxusercontent.com/scl/fi/l5x67ltcdbvagufgbuu98/size-chartswomens-standard-fitted-shirt.jpg?rlkey=hd7mkhwgvcc0a55r4ccbn0br6&amp;dl=0","Click to download SizeChart")</f>
      </c>
      <c r="C3305" s="0" t="inlineStr">
        <is>
          <t>Marin Women's Polo</t>
        </is>
      </c>
      <c r="D3305" s="1">
        <v>101139</v>
      </c>
      <c r="E3305" s="0" t="inlineStr">
        <is>
          <t>MARIN:101139C-L</t>
        </is>
      </c>
      <c r="G3305" s="0" t="inlineStr">
        <is>
          <t>WOMENS</t>
        </is>
      </c>
      <c r="H3305" s="0" t="inlineStr">
        <is>
          <t>L</t>
        </is>
      </c>
      <c r="I3305" s="0">
        <v>44.99</v>
      </c>
      <c r="J3305" s="0">
        <v>105</v>
      </c>
    </row>
    <row r="3306" spans="1:10" customHeight="0">
      <c r="A3306" s="0">
        <f>HYPERLINK("https://dl.dropboxusercontent.com/scl/fi/r8tls7r0cfm52doyffrsf/marin.jpg?rlkey=ood1xdixbsw4xr9yl8l1dlu6y&amp;dl=0","Click to download Image")</f>
      </c>
      <c r="B3306" s="0">
        <f>HYPERLINK("https://dl.dropboxusercontent.com/scl/fi/l5x67ltcdbvagufgbuu98/size-chartswomens-standard-fitted-shirt.jpg?rlkey=hd7mkhwgvcc0a55r4ccbn0br6&amp;dl=0","Click to download SizeChart")</f>
      </c>
      <c r="C3306" s="0" t="inlineStr">
        <is>
          <t>Marin Women's Polo</t>
        </is>
      </c>
      <c r="D3306" s="1">
        <v>101139</v>
      </c>
      <c r="E3306" s="0" t="inlineStr">
        <is>
          <t>MARIN:101139D-XL</t>
        </is>
      </c>
      <c r="G3306" s="0" t="inlineStr">
        <is>
          <t>WOMENS</t>
        </is>
      </c>
      <c r="H3306" s="0" t="inlineStr">
        <is>
          <t>XL</t>
        </is>
      </c>
      <c r="I3306" s="0">
        <v>44.99</v>
      </c>
      <c r="J3306" s="0">
        <v>100</v>
      </c>
    </row>
    <row r="3307" spans="1:10" customHeight="0">
      <c r="A3307" s="0">
        <f>HYPERLINK("https://dl.dropboxusercontent.com/scl/fi/r8tls7r0cfm52doyffrsf/marin.jpg?rlkey=ood1xdixbsw4xr9yl8l1dlu6y&amp;dl=0","Click to download Image")</f>
      </c>
      <c r="B3307" s="0">
        <f>HYPERLINK("https://dl.dropboxusercontent.com/scl/fi/l5x67ltcdbvagufgbuu98/size-chartswomens-standard-fitted-shirt.jpg?rlkey=hd7mkhwgvcc0a55r4ccbn0br6&amp;dl=0","Click to download SizeChart")</f>
      </c>
      <c r="C3307" s="0" t="inlineStr">
        <is>
          <t>Marin Women's Polo</t>
        </is>
      </c>
      <c r="D3307" s="1">
        <v>101139</v>
      </c>
      <c r="E3307" s="0" t="inlineStr">
        <is>
          <t>MARIN:101139E-2XL</t>
        </is>
      </c>
      <c r="G3307" s="0" t="inlineStr">
        <is>
          <t>WOMENS</t>
        </is>
      </c>
      <c r="H3307" s="0" t="inlineStr">
        <is>
          <t>2XL</t>
        </is>
      </c>
      <c r="I3307" s="0">
        <v>46.99</v>
      </c>
      <c r="J3307" s="0">
        <v>72</v>
      </c>
    </row>
    <row r="3308" spans="1:10" customHeight="0">
      <c r="A3308" s="0">
        <f>HYPERLINK("https://dl.dropboxusercontent.com/scl/fi/r8tls7r0cfm52doyffrsf/marin.jpg?rlkey=ood1xdixbsw4xr9yl8l1dlu6y&amp;dl=0","Click to download Image")</f>
      </c>
      <c r="B3308" s="0">
        <f>HYPERLINK("https://dl.dropboxusercontent.com/scl/fi/l5x67ltcdbvagufgbuu98/size-chartswomens-standard-fitted-shirt.jpg?rlkey=hd7mkhwgvcc0a55r4ccbn0br6&amp;dl=0","Click to download SizeChart")</f>
      </c>
      <c r="C3308" s="0" t="inlineStr">
        <is>
          <t>Marin Women's Polo</t>
        </is>
      </c>
      <c r="D3308" s="1">
        <v>101139</v>
      </c>
      <c r="E3308" s="0" t="inlineStr">
        <is>
          <t>MARIN:101139F-3XL</t>
        </is>
      </c>
      <c r="G3308" s="0" t="inlineStr">
        <is>
          <t>WOMENS</t>
        </is>
      </c>
      <c r="H3308" s="0" t="inlineStr">
        <is>
          <t>3XL</t>
        </is>
      </c>
      <c r="I3308" s="0">
        <v>46.99</v>
      </c>
      <c r="J3308" s="0">
        <v>13</v>
      </c>
    </row>
    <row r="3309" spans="1:10" customHeight="0">
      <c r="A3309" s="0">
        <f>HYPERLINK("https://dl.dropboxusercontent.com/scl/fi/pqzsxqa6hpcc6k13ztwna/95892af.jpg?rlkey=3qiwy37sclvdekpyf0ltl3l0f&amp;dl=0","Click to download Image")</f>
      </c>
      <c r="B3309" s="0">
        <f>HYPERLINK("https://dl.dropboxusercontent.com/scl/fi/8m98z670aw8aejmvgvq0o/neon-size-chartsmacie.jpg?rlkey=7v0r4ooajffu77y62ywhl7o66&amp;dl=0","Click to download SizeChart")</f>
      </c>
      <c r="C3309" s="0" t="inlineStr">
        <is>
          <t>Macie Women's T-Shirt</t>
        </is>
      </c>
      <c r="D3309" s="1">
        <v>95892</v>
      </c>
      <c r="E3309" s="0" t="inlineStr">
        <is>
          <t>MACIE:95892C-L</t>
        </is>
      </c>
      <c r="G3309" s="0" t="inlineStr">
        <is>
          <t>WOMENS</t>
        </is>
      </c>
      <c r="H3309" s="0" t="inlineStr">
        <is>
          <t>L</t>
        </is>
      </c>
      <c r="I3309" s="0">
        <v>14.99</v>
      </c>
      <c r="J3309" s="0">
        <v>70</v>
      </c>
    </row>
    <row r="3310" spans="1:10" customHeight="0">
      <c r="A3310" s="0">
        <f>HYPERLINK("https://dl.dropboxusercontent.com/scl/fi/pqzsxqa6hpcc6k13ztwna/95892af.jpg?rlkey=3qiwy37sclvdekpyf0ltl3l0f&amp;dl=0","Click to download Image")</f>
      </c>
      <c r="B3310" s="0">
        <f>HYPERLINK("https://dl.dropboxusercontent.com/scl/fi/8m98z670aw8aejmvgvq0o/neon-size-chartsmacie.jpg?rlkey=7v0r4ooajffu77y62ywhl7o66&amp;dl=0","Click to download SizeChart")</f>
      </c>
      <c r="C3310" s="0" t="inlineStr">
        <is>
          <t>Macie Women's T-Shirt</t>
        </is>
      </c>
      <c r="D3310" s="1">
        <v>95892</v>
      </c>
      <c r="E3310" s="0" t="inlineStr">
        <is>
          <t>MACIE:95892D-XL</t>
        </is>
      </c>
      <c r="G3310" s="0" t="inlineStr">
        <is>
          <t>WOMENS</t>
        </is>
      </c>
      <c r="H3310" s="0" t="inlineStr">
        <is>
          <t>XL</t>
        </is>
      </c>
      <c r="I3310" s="0">
        <v>14.99</v>
      </c>
      <c r="J3310" s="0">
        <v>75</v>
      </c>
    </row>
    <row r="3311" spans="1:10" customHeight="0">
      <c r="A3311" s="0">
        <f>HYPERLINK("https://dl.dropboxusercontent.com/scl/fi/5ukm9kyjt5400s92vromm/maria.jpg?rlkey=rcdkdvpoquofe6ocpprth9wvq&amp;dl=0","Click to download Image")</f>
      </c>
      <c r="B3311" s="0">
        <f>HYPERLINK("https://dl.dropboxusercontent.com/scl/fi/u3jkbszihnmkvq59wlwe7/size-chartladies-e.jpg?rlkey=hmfp9k80wbgikoku9vzm8dq3t&amp;dl=0","Click to download SizeChart")</f>
      </c>
      <c r="C3311" s="0" t="inlineStr">
        <is>
          <t>Maria Women's Lace Long Sleeve Shirt</t>
        </is>
      </c>
      <c r="D3311" s="1">
        <v>98536</v>
      </c>
      <c r="E3311" s="0" t="inlineStr">
        <is>
          <t>MARIA:98536A-S</t>
        </is>
      </c>
      <c r="G3311" s="0" t="inlineStr">
        <is>
          <t>WOMENS</t>
        </is>
      </c>
      <c r="H3311" s="0" t="inlineStr">
        <is>
          <t>S</t>
        </is>
      </c>
      <c r="I3311" s="0">
        <v>44.99</v>
      </c>
      <c r="J3311" s="0">
        <v>80</v>
      </c>
    </row>
    <row r="3312" spans="1:10" customHeight="0">
      <c r="A3312" s="0">
        <f>HYPERLINK("https://dl.dropboxusercontent.com/scl/fi/5ukm9kyjt5400s92vromm/maria.jpg?rlkey=rcdkdvpoquofe6ocpprth9wvq&amp;dl=0","Click to download Image")</f>
      </c>
      <c r="B3312" s="0">
        <f>HYPERLINK("https://dl.dropboxusercontent.com/scl/fi/u3jkbszihnmkvq59wlwe7/size-chartladies-e.jpg?rlkey=hmfp9k80wbgikoku9vzm8dq3t&amp;dl=0","Click to download SizeChart")</f>
      </c>
      <c r="C3312" s="0" t="inlineStr">
        <is>
          <t>Maria Women's Lace Long Sleeve Shirt</t>
        </is>
      </c>
      <c r="D3312" s="1">
        <v>98536</v>
      </c>
      <c r="E3312" s="0" t="inlineStr">
        <is>
          <t>MARIA:98536B-M</t>
        </is>
      </c>
      <c r="G3312" s="0" t="inlineStr">
        <is>
          <t>WOMENS</t>
        </is>
      </c>
      <c r="H3312" s="0" t="inlineStr">
        <is>
          <t>M</t>
        </is>
      </c>
      <c r="I3312" s="0">
        <v>44.99</v>
      </c>
      <c r="J3312" s="0">
        <v>95</v>
      </c>
    </row>
    <row r="3313" spans="1:10" customHeight="0">
      <c r="A3313" s="0">
        <f>HYPERLINK("https://dl.dropboxusercontent.com/scl/fi/5ukm9kyjt5400s92vromm/maria.jpg?rlkey=rcdkdvpoquofe6ocpprth9wvq&amp;dl=0","Click to download Image")</f>
      </c>
      <c r="B3313" s="0">
        <f>HYPERLINK("https://dl.dropboxusercontent.com/scl/fi/u3jkbszihnmkvq59wlwe7/size-chartladies-e.jpg?rlkey=hmfp9k80wbgikoku9vzm8dq3t&amp;dl=0","Click to download SizeChart")</f>
      </c>
      <c r="C3313" s="0" t="inlineStr">
        <is>
          <t>Maria Women's Lace Long Sleeve Shirt</t>
        </is>
      </c>
      <c r="D3313" s="1">
        <v>98536</v>
      </c>
      <c r="E3313" s="0" t="inlineStr">
        <is>
          <t>MARIA:98536C-L</t>
        </is>
      </c>
      <c r="G3313" s="0" t="inlineStr">
        <is>
          <t>WOMENS</t>
        </is>
      </c>
      <c r="H3313" s="0" t="inlineStr">
        <is>
          <t>L</t>
        </is>
      </c>
      <c r="I3313" s="0">
        <v>44.99</v>
      </c>
      <c r="J3313" s="0">
        <v>125</v>
      </c>
    </row>
    <row r="3314" spans="1:10" customHeight="0">
      <c r="A3314" s="0">
        <f>HYPERLINK("https://dl.dropboxusercontent.com/scl/fi/5ukm9kyjt5400s92vromm/maria.jpg?rlkey=rcdkdvpoquofe6ocpprth9wvq&amp;dl=0","Click to download Image")</f>
      </c>
      <c r="B3314" s="0">
        <f>HYPERLINK("https://dl.dropboxusercontent.com/scl/fi/u3jkbszihnmkvq59wlwe7/size-chartladies-e.jpg?rlkey=hmfp9k80wbgikoku9vzm8dq3t&amp;dl=0","Click to download SizeChart")</f>
      </c>
      <c r="C3314" s="0" t="inlineStr">
        <is>
          <t>Maria Women's Lace Long Sleeve Shirt</t>
        </is>
      </c>
      <c r="D3314" s="1">
        <v>98536</v>
      </c>
      <c r="E3314" s="0" t="inlineStr">
        <is>
          <t>MARIA:98536D-XL</t>
        </is>
      </c>
      <c r="G3314" s="0" t="inlineStr">
        <is>
          <t>WOMENS</t>
        </is>
      </c>
      <c r="H3314" s="0" t="inlineStr">
        <is>
          <t>XL</t>
        </is>
      </c>
      <c r="I3314" s="0">
        <v>44.99</v>
      </c>
      <c r="J3314" s="0">
        <v>131</v>
      </c>
    </row>
    <row r="3315" spans="1:10" customHeight="0">
      <c r="A3315" s="0">
        <f>HYPERLINK("https://dl.dropboxusercontent.com/scl/fi/5ukm9kyjt5400s92vromm/maria.jpg?rlkey=rcdkdvpoquofe6ocpprth9wvq&amp;dl=0","Click to download Image")</f>
      </c>
      <c r="B3315" s="0">
        <f>HYPERLINK("https://dl.dropboxusercontent.com/scl/fi/u3jkbszihnmkvq59wlwe7/size-chartladies-e.jpg?rlkey=hmfp9k80wbgikoku9vzm8dq3t&amp;dl=0","Click to download SizeChart")</f>
      </c>
      <c r="C3315" s="0" t="inlineStr">
        <is>
          <t>Maria Women's Lace Long Sleeve Shirt</t>
        </is>
      </c>
      <c r="D3315" s="1">
        <v>98536</v>
      </c>
      <c r="E3315" s="0" t="inlineStr">
        <is>
          <t>MARIA:98536E-2XL</t>
        </is>
      </c>
      <c r="G3315" s="0" t="inlineStr">
        <is>
          <t>WOMENS</t>
        </is>
      </c>
      <c r="H3315" s="0" t="inlineStr">
        <is>
          <t>2XL</t>
        </is>
      </c>
      <c r="I3315" s="0">
        <v>46.99</v>
      </c>
      <c r="J3315" s="0">
        <v>57</v>
      </c>
    </row>
    <row r="3316" spans="1:10" customHeight="0">
      <c r="A3316" s="0">
        <f>HYPERLINK("https://dl.dropboxusercontent.com/scl/fi/8xwiyikhvy8vsnyasn0c9/jules.jpg?rlkey=2pobbp40yzkn8q2fzvqcg9n7o&amp;dl=0","Click to download Image")</f>
      </c>
      <c r="C3316" s="0" t="inlineStr">
        <is>
          <t>Jules Infant Cap</t>
        </is>
      </c>
      <c r="D3316" s="1">
        <v>99646</v>
      </c>
      <c r="E3316" s="0" t="inlineStr">
        <is>
          <t>JULES:99646</t>
        </is>
      </c>
      <c r="F3316" s="2">
        <v>70009964601</v>
      </c>
      <c r="G3316" s="0" t="inlineStr">
        <is>
          <t>INFANT</t>
        </is>
      </c>
      <c r="H3316" s="0" t="inlineStr">
        <is>
          <t>INFANT</t>
        </is>
      </c>
      <c r="I3316" s="0">
        <v>15.99</v>
      </c>
      <c r="J3316" s="0">
        <v>149</v>
      </c>
    </row>
    <row r="3317" spans="1:10" customHeight="0">
      <c r="A3317" s="0">
        <f>HYPERLINK("https://dl.dropboxusercontent.com/scl/fi/exqgwpqz393e5ohwftmwi/joellat.jpg?rlkey=1oo5bvxy4fudbrwfo9jrsfcxa&amp;dl=0","Click to download Image")</f>
      </c>
      <c r="C3317" s="0" t="inlineStr">
        <is>
          <t>Joella Women's Runner Cap</t>
        </is>
      </c>
      <c r="D3317" s="1">
        <v>99693</v>
      </c>
      <c r="E3317" s="0" t="inlineStr">
        <is>
          <t>JOELLA:99693</t>
        </is>
      </c>
      <c r="F3317" s="2">
        <v>70009969301</v>
      </c>
      <c r="G3317" s="0" t="inlineStr">
        <is>
          <t>WOMENS</t>
        </is>
      </c>
      <c r="H3317" s="0" t="inlineStr">
        <is>
          <t>WOMENS</t>
        </is>
      </c>
      <c r="I3317" s="0">
        <v>18.99</v>
      </c>
      <c r="J3317" s="0">
        <v>121</v>
      </c>
    </row>
    <row r="3318" spans="1:10" customHeight="0">
      <c r="A3318" s="0">
        <f>HYPERLINK("https://dl.dropboxusercontent.com/scl/fi/u93e4mzhkvevz41owu16g/macken.jpg?rlkey=m0ax8hdjwyrax3kny3no55vb9&amp;dl=0","Click to download Image")</f>
      </c>
      <c r="B3318" s="0">
        <f>HYPERLINK("https://dl.dropboxusercontent.com/scl/fi/v7lqw1u5rt67z6cvf68l2/ladies-a.jpg?rlkey=vffl1erdn341ay3ez0nmai4zk&amp;dl=0","Click to download SizeChart")</f>
      </c>
      <c r="C3318" s="0" t="inlineStr">
        <is>
          <t>Mackenzie Women's Jacket</t>
        </is>
      </c>
      <c r="D3318" s="1">
        <v>95922</v>
      </c>
      <c r="E3318" s="0" t="inlineStr">
        <is>
          <t>MACKENZIE:95922C-L</t>
        </is>
      </c>
      <c r="G3318" s="0" t="inlineStr">
        <is>
          <t>WOMENS</t>
        </is>
      </c>
      <c r="H3318" s="0" t="inlineStr">
        <is>
          <t>L</t>
        </is>
      </c>
      <c r="I3318" s="0">
        <v>59.99</v>
      </c>
      <c r="J3318" s="0">
        <v>62</v>
      </c>
    </row>
    <row r="3319" spans="1:10" customHeight="0">
      <c r="A3319" s="0">
        <f>HYPERLINK("https://dl.dropboxusercontent.com/scl/fi/u93e4mzhkvevz41owu16g/macken.jpg?rlkey=m0ax8hdjwyrax3kny3no55vb9&amp;dl=0","Click to download Image")</f>
      </c>
      <c r="B3319" s="0">
        <f>HYPERLINK("https://dl.dropboxusercontent.com/scl/fi/v7lqw1u5rt67z6cvf68l2/ladies-a.jpg?rlkey=vffl1erdn341ay3ez0nmai4zk&amp;dl=0","Click to download SizeChart")</f>
      </c>
      <c r="C3319" s="0" t="inlineStr">
        <is>
          <t>Mackenzie Women's Jacket</t>
        </is>
      </c>
      <c r="D3319" s="1">
        <v>95922</v>
      </c>
      <c r="E3319" s="0" t="inlineStr">
        <is>
          <t>MACKENZIE:95922D-XL</t>
        </is>
      </c>
      <c r="G3319" s="0" t="inlineStr">
        <is>
          <t>WOMENS</t>
        </is>
      </c>
      <c r="H3319" s="0" t="inlineStr">
        <is>
          <t>XL</t>
        </is>
      </c>
      <c r="I3319" s="0">
        <v>59.99</v>
      </c>
      <c r="J3319" s="0">
        <v>38</v>
      </c>
    </row>
    <row r="3320" spans="1:10" customHeight="0">
      <c r="A3320" s="0">
        <f>HYPERLINK("https://dl.dropboxusercontent.com/scl/fi/u93e4mzhkvevz41owu16g/macken.jpg?rlkey=m0ax8hdjwyrax3kny3no55vb9&amp;dl=0","Click to download Image")</f>
      </c>
      <c r="B3320" s="0">
        <f>HYPERLINK("https://dl.dropboxusercontent.com/scl/fi/v7lqw1u5rt67z6cvf68l2/ladies-a.jpg?rlkey=vffl1erdn341ay3ez0nmai4zk&amp;dl=0","Click to download SizeChart")</f>
      </c>
      <c r="C3320" s="0" t="inlineStr">
        <is>
          <t>Mackenzie Women's Jacket</t>
        </is>
      </c>
      <c r="D3320" s="1">
        <v>95922</v>
      </c>
      <c r="E3320" s="0" t="inlineStr">
        <is>
          <t>MACKENZIE:95922E-2X</t>
        </is>
      </c>
      <c r="G3320" s="0" t="inlineStr">
        <is>
          <t>WOMENS</t>
        </is>
      </c>
      <c r="H3320" s="0" t="inlineStr">
        <is>
          <t>2XL</t>
        </is>
      </c>
      <c r="I3320" s="0">
        <v>61.99</v>
      </c>
      <c r="J3320" s="0">
        <v>16</v>
      </c>
    </row>
    <row r="3321" spans="1:10" customHeight="0">
      <c r="A3321" s="0">
        <f>HYPERLINK("https://dl.dropboxusercontent.com/scl/fi/cqd73jlzo4dq8pipb95s4/mac.jpg?rlkey=4xpkbhjuiq8s9j13etv42pj2e&amp;dl=0","Click to download Image")</f>
      </c>
      <c r="B3321" s="0">
        <f>HYPERLINK("https://dl.dropboxusercontent.com/scl/fi/xpsnijjodet523f8kp6a1/mens-b.jpg?rlkey=cqoxbiycai7vqcfoexnpfccmc&amp;dl=0","Click to download SizeChart")</f>
      </c>
      <c r="C3321" s="0" t="inlineStr">
        <is>
          <t>Mac Men's Jacket</t>
        </is>
      </c>
      <c r="D3321" s="1">
        <v>95921</v>
      </c>
      <c r="E3321" s="0" t="inlineStr">
        <is>
          <t>MAC:95921A-S</t>
        </is>
      </c>
      <c r="G3321" s="0" t="inlineStr">
        <is>
          <t>MENS</t>
        </is>
      </c>
      <c r="H3321" s="0" t="inlineStr">
        <is>
          <t>S</t>
        </is>
      </c>
      <c r="I3321" s="0">
        <v>59.99</v>
      </c>
      <c r="J3321" s="0">
        <v>7</v>
      </c>
    </row>
    <row r="3322" spans="1:10" customHeight="0">
      <c r="A3322" s="0">
        <f>HYPERLINK("https://dl.dropboxusercontent.com/scl/fi/cqd73jlzo4dq8pipb95s4/mac.jpg?rlkey=4xpkbhjuiq8s9j13etv42pj2e&amp;dl=0","Click to download Image")</f>
      </c>
      <c r="B3322" s="0">
        <f>HYPERLINK("https://dl.dropboxusercontent.com/scl/fi/xpsnijjodet523f8kp6a1/mens-b.jpg?rlkey=cqoxbiycai7vqcfoexnpfccmc&amp;dl=0","Click to download SizeChart")</f>
      </c>
      <c r="C3322" s="0" t="inlineStr">
        <is>
          <t>Mac Men's Jacket</t>
        </is>
      </c>
      <c r="D3322" s="1">
        <v>95921</v>
      </c>
      <c r="E3322" s="0" t="inlineStr">
        <is>
          <t>MAC:95921B-M</t>
        </is>
      </c>
      <c r="G3322" s="0" t="inlineStr">
        <is>
          <t>MENS</t>
        </is>
      </c>
      <c r="H3322" s="0" t="inlineStr">
        <is>
          <t>M</t>
        </is>
      </c>
      <c r="I3322" s="0">
        <v>59.99</v>
      </c>
      <c r="J3322" s="0">
        <v>18</v>
      </c>
    </row>
    <row r="3323" spans="1:10" customHeight="0">
      <c r="A3323" s="0">
        <f>HYPERLINK("https://dl.dropboxusercontent.com/scl/fi/cqd73jlzo4dq8pipb95s4/mac.jpg?rlkey=4xpkbhjuiq8s9j13etv42pj2e&amp;dl=0","Click to download Image")</f>
      </c>
      <c r="B3323" s="0">
        <f>HYPERLINK("https://dl.dropboxusercontent.com/scl/fi/xpsnijjodet523f8kp6a1/mens-b.jpg?rlkey=cqoxbiycai7vqcfoexnpfccmc&amp;dl=0","Click to download SizeChart")</f>
      </c>
      <c r="C3323" s="0" t="inlineStr">
        <is>
          <t>Mac Men's Jacket</t>
        </is>
      </c>
      <c r="D3323" s="1">
        <v>95921</v>
      </c>
      <c r="E3323" s="0" t="inlineStr">
        <is>
          <t>MAC:95921C-L</t>
        </is>
      </c>
      <c r="G3323" s="0" t="inlineStr">
        <is>
          <t>MENS</t>
        </is>
      </c>
      <c r="H3323" s="0" t="inlineStr">
        <is>
          <t>L</t>
        </is>
      </c>
      <c r="I3323" s="0">
        <v>59.99</v>
      </c>
      <c r="J3323" s="0">
        <v>0</v>
      </c>
    </row>
    <row r="3324" spans="1:10" customHeight="0">
      <c r="A3324" s="0">
        <f>HYPERLINK("https://dl.dropboxusercontent.com/scl/fi/cqd73jlzo4dq8pipb95s4/mac.jpg?rlkey=4xpkbhjuiq8s9j13etv42pj2e&amp;dl=0","Click to download Image")</f>
      </c>
      <c r="B3324" s="0">
        <f>HYPERLINK("https://dl.dropboxusercontent.com/scl/fi/xpsnijjodet523f8kp6a1/mens-b.jpg?rlkey=cqoxbiycai7vqcfoexnpfccmc&amp;dl=0","Click to download SizeChart")</f>
      </c>
      <c r="C3324" s="0" t="inlineStr">
        <is>
          <t>Mac Men's Jacket</t>
        </is>
      </c>
      <c r="D3324" s="1">
        <v>95921</v>
      </c>
      <c r="E3324" s="0" t="inlineStr">
        <is>
          <t>MAC:95921-XL</t>
        </is>
      </c>
      <c r="G3324" s="0" t="inlineStr">
        <is>
          <t>MENS</t>
        </is>
      </c>
      <c r="H3324" s="0" t="inlineStr">
        <is>
          <t>XL</t>
        </is>
      </c>
      <c r="I3324" s="0">
        <v>59.99</v>
      </c>
      <c r="J3324" s="0">
        <v>4</v>
      </c>
    </row>
    <row r="3325" spans="1:10" customHeight="0">
      <c r="A3325" s="0">
        <f>HYPERLINK("https://dl.dropboxusercontent.com/scl/fi/cqd73jlzo4dq8pipb95s4/mac.jpg?rlkey=4xpkbhjuiq8s9j13etv42pj2e&amp;dl=0","Click to download Image")</f>
      </c>
      <c r="B3325" s="0">
        <f>HYPERLINK("https://dl.dropboxusercontent.com/scl/fi/xpsnijjodet523f8kp6a1/mens-b.jpg?rlkey=cqoxbiycai7vqcfoexnpfccmc&amp;dl=0","Click to download SizeChart")</f>
      </c>
      <c r="C3325" s="0" t="inlineStr">
        <is>
          <t>Mac Men's Jacket</t>
        </is>
      </c>
      <c r="D3325" s="1">
        <v>95921</v>
      </c>
      <c r="E3325" s="0" t="inlineStr">
        <is>
          <t>MAC:95921E-2X</t>
        </is>
      </c>
      <c r="G3325" s="0" t="inlineStr">
        <is>
          <t>MENS</t>
        </is>
      </c>
      <c r="H3325" s="0" t="inlineStr">
        <is>
          <t>2XL</t>
        </is>
      </c>
      <c r="I3325" s="0">
        <v>61.99</v>
      </c>
      <c r="J3325" s="0">
        <v>7</v>
      </c>
    </row>
    <row r="3326" spans="1:10" customHeight="0">
      <c r="A3326" s="0">
        <f>HYPERLINK("https://dl.dropboxusercontent.com/scl/fi/cqd73jlzo4dq8pipb95s4/mac.jpg?rlkey=4xpkbhjuiq8s9j13etv42pj2e&amp;dl=0","Click to download Image")</f>
      </c>
      <c r="B3326" s="0">
        <f>HYPERLINK("https://dl.dropboxusercontent.com/scl/fi/xpsnijjodet523f8kp6a1/mens-b.jpg?rlkey=cqoxbiycai7vqcfoexnpfccmc&amp;dl=0","Click to download SizeChart")</f>
      </c>
      <c r="C3326" s="0" t="inlineStr">
        <is>
          <t>Mac Men's Jacket</t>
        </is>
      </c>
      <c r="D3326" s="1">
        <v>95921</v>
      </c>
      <c r="E3326" s="0" t="inlineStr">
        <is>
          <t>MAC:95921F-3X</t>
        </is>
      </c>
      <c r="G3326" s="0" t="inlineStr">
        <is>
          <t>MENS</t>
        </is>
      </c>
      <c r="H3326" s="0" t="inlineStr">
        <is>
          <t>3XL</t>
        </is>
      </c>
      <c r="I3326" s="0">
        <v>61.99</v>
      </c>
      <c r="J3326" s="0">
        <v>2</v>
      </c>
    </row>
    <row r="3327" spans="1:10" customHeight="0">
      <c r="A3327" s="0">
        <f>HYPERLINK("https://dl.dropboxusercontent.com/scl/fi/je0q7tv7zg46bk7xh8nqs/94644af14256.jpg?rlkey=5lze7ejfx9ctw9iwhjpaxtizv&amp;dl=0","Click to download Image")</f>
      </c>
      <c r="B3327" s="0">
        <f>HYPERLINK("https://dl.dropboxusercontent.com/scl/fi/yzmytj22s1nmkrqd0yevd/mens-e.jpg?rlkey=2uqnhokyz2gfxf7c4u3ragb79&amp;dl=0","Click to download SizeChart")</f>
      </c>
      <c r="C3327" s="0" t="inlineStr">
        <is>
          <t>Harris Men's Polo</t>
        </is>
      </c>
      <c r="D3327" s="1">
        <v>94644</v>
      </c>
      <c r="E3327" s="0" t="inlineStr">
        <is>
          <t>HARRIS:94644A-S</t>
        </is>
      </c>
      <c r="G3327" s="0" t="inlineStr">
        <is>
          <t>MENS</t>
        </is>
      </c>
      <c r="H3327" s="0" t="inlineStr">
        <is>
          <t>S</t>
        </is>
      </c>
      <c r="I3327" s="0">
        <v>39.99</v>
      </c>
      <c r="J3327" s="0">
        <v>23</v>
      </c>
    </row>
    <row r="3328" spans="1:10" customHeight="0">
      <c r="A3328" s="0">
        <f>HYPERLINK("https://dl.dropboxusercontent.com/scl/fi/je0q7tv7zg46bk7xh8nqs/94644af14256.jpg?rlkey=5lze7ejfx9ctw9iwhjpaxtizv&amp;dl=0","Click to download Image")</f>
      </c>
      <c r="B3328" s="0">
        <f>HYPERLINK("https://dl.dropboxusercontent.com/scl/fi/yzmytj22s1nmkrqd0yevd/mens-e.jpg?rlkey=2uqnhokyz2gfxf7c4u3ragb79&amp;dl=0","Click to download SizeChart")</f>
      </c>
      <c r="C3328" s="0" t="inlineStr">
        <is>
          <t>Harris Men's Polo</t>
        </is>
      </c>
      <c r="D3328" s="1">
        <v>94644</v>
      </c>
      <c r="E3328" s="0" t="inlineStr">
        <is>
          <t>HARRIS:94644B-M</t>
        </is>
      </c>
      <c r="G3328" s="0" t="inlineStr">
        <is>
          <t>MENS</t>
        </is>
      </c>
      <c r="H3328" s="0" t="inlineStr">
        <is>
          <t>M</t>
        </is>
      </c>
      <c r="I3328" s="0">
        <v>39.99</v>
      </c>
      <c r="J3328" s="0">
        <v>15</v>
      </c>
    </row>
    <row r="3329" spans="1:10" customHeight="0">
      <c r="A3329" s="0">
        <f>HYPERLINK("https://dl.dropboxusercontent.com/scl/fi/je0q7tv7zg46bk7xh8nqs/94644af14256.jpg?rlkey=5lze7ejfx9ctw9iwhjpaxtizv&amp;dl=0","Click to download Image")</f>
      </c>
      <c r="B3329" s="0">
        <f>HYPERLINK("https://dl.dropboxusercontent.com/scl/fi/yzmytj22s1nmkrqd0yevd/mens-e.jpg?rlkey=2uqnhokyz2gfxf7c4u3ragb79&amp;dl=0","Click to download SizeChart")</f>
      </c>
      <c r="C3329" s="0" t="inlineStr">
        <is>
          <t>Harris Men's Polo</t>
        </is>
      </c>
      <c r="D3329" s="1">
        <v>94644</v>
      </c>
      <c r="E3329" s="0" t="inlineStr">
        <is>
          <t>HARRIS:94644C-L</t>
        </is>
      </c>
      <c r="G3329" s="0" t="inlineStr">
        <is>
          <t>MENS</t>
        </is>
      </c>
      <c r="H3329" s="0" t="inlineStr">
        <is>
          <t>L</t>
        </is>
      </c>
      <c r="I3329" s="0">
        <v>39.99</v>
      </c>
      <c r="J3329" s="0">
        <v>0</v>
      </c>
    </row>
    <row r="3330" spans="1:10" customHeight="0">
      <c r="A3330" s="0">
        <f>HYPERLINK("https://dl.dropboxusercontent.com/scl/fi/je0q7tv7zg46bk7xh8nqs/94644af14256.jpg?rlkey=5lze7ejfx9ctw9iwhjpaxtizv&amp;dl=0","Click to download Image")</f>
      </c>
      <c r="B3330" s="0">
        <f>HYPERLINK("https://dl.dropboxusercontent.com/scl/fi/yzmytj22s1nmkrqd0yevd/mens-e.jpg?rlkey=2uqnhokyz2gfxf7c4u3ragb79&amp;dl=0","Click to download SizeChart")</f>
      </c>
      <c r="C3330" s="0" t="inlineStr">
        <is>
          <t>Harris Men's Polo</t>
        </is>
      </c>
      <c r="D3330" s="1">
        <v>94644</v>
      </c>
      <c r="E3330" s="0" t="inlineStr">
        <is>
          <t>HARRIS:94644G-4XL</t>
        </is>
      </c>
      <c r="G3330" s="0" t="inlineStr">
        <is>
          <t>MENS</t>
        </is>
      </c>
      <c r="H3330" s="0" t="inlineStr">
        <is>
          <t>4XL</t>
        </is>
      </c>
      <c r="I3330" s="0">
        <v>39.99</v>
      </c>
      <c r="J3330" s="0">
        <v>0</v>
      </c>
    </row>
    <row r="3331" spans="1:10" customHeight="0">
      <c r="A3331" s="0">
        <f>HYPERLINK("https://dl.dropboxusercontent.com/scl/fi/je0q7tv7zg46bk7xh8nqs/94644af14256.jpg?rlkey=5lze7ejfx9ctw9iwhjpaxtizv&amp;dl=0","Click to download Image")</f>
      </c>
      <c r="B3331" s="0">
        <f>HYPERLINK("https://dl.dropboxusercontent.com/scl/fi/yzmytj22s1nmkrqd0yevd/mens-e.jpg?rlkey=2uqnhokyz2gfxf7c4u3ragb79&amp;dl=0","Click to download SizeChart")</f>
      </c>
      <c r="C3331" s="0" t="inlineStr">
        <is>
          <t>Harris Men's Polo</t>
        </is>
      </c>
      <c r="D3331" s="1">
        <v>94644</v>
      </c>
      <c r="E3331" s="0" t="inlineStr">
        <is>
          <t>HARRIS:94644H-5XL</t>
        </is>
      </c>
      <c r="G3331" s="0" t="inlineStr">
        <is>
          <t>MENS</t>
        </is>
      </c>
      <c r="H3331" s="0" t="inlineStr">
        <is>
          <t>5XL</t>
        </is>
      </c>
      <c r="I3331" s="0">
        <v>39.99</v>
      </c>
      <c r="J3331" s="0">
        <v>3</v>
      </c>
    </row>
    <row r="3332" spans="1:10" customHeight="0">
      <c r="A3332" s="0">
        <f>HYPERLINK("https://dl.dropboxusercontent.com/scl/fi/je0q7tv7zg46bk7xh8nqs/94644af14256.jpg?rlkey=5lze7ejfx9ctw9iwhjpaxtizv&amp;dl=0","Click to download Image")</f>
      </c>
      <c r="B3332" s="0">
        <f>HYPERLINK("https://dl.dropboxusercontent.com/scl/fi/yzmytj22s1nmkrqd0yevd/mens-e.jpg?rlkey=2uqnhokyz2gfxf7c4u3ragb79&amp;dl=0","Click to download SizeChart")</f>
      </c>
      <c r="C3332" s="0" t="inlineStr">
        <is>
          <t>Harris Men's Polo</t>
        </is>
      </c>
      <c r="D3332" s="1">
        <v>94644</v>
      </c>
      <c r="E3332" s="0" t="inlineStr">
        <is>
          <t>HARRIS:94644I-6XL</t>
        </is>
      </c>
      <c r="G3332" s="0" t="inlineStr">
        <is>
          <t>MENS</t>
        </is>
      </c>
      <c r="H3332" s="0" t="inlineStr">
        <is>
          <t>6XL</t>
        </is>
      </c>
      <c r="I3332" s="0">
        <v>39.99</v>
      </c>
      <c r="J3332" s="0">
        <v>3</v>
      </c>
    </row>
    <row r="3333" spans="1:10" customHeight="0">
      <c r="A3333" s="0">
        <f>HYPERLINK("https://dl.dropboxusercontent.com/scl/fi/je0q7tv7zg46bk7xh8nqs/94644af14256.jpg?rlkey=5lze7ejfx9ctw9iwhjpaxtizv&amp;dl=0","Click to download Image")</f>
      </c>
      <c r="B3333" s="0">
        <f>HYPERLINK("https://dl.dropboxusercontent.com/scl/fi/yzmytj22s1nmkrqd0yevd/mens-e.jpg?rlkey=2uqnhokyz2gfxf7c4u3ragb79&amp;dl=0","Click to download SizeChart")</f>
      </c>
      <c r="C3333" s="0" t="inlineStr">
        <is>
          <t>Harris Men's Polo</t>
        </is>
      </c>
      <c r="D3333" s="1">
        <v>94644</v>
      </c>
      <c r="E3333" s="0" t="inlineStr">
        <is>
          <t>HARRIS:94644J-7XL</t>
        </is>
      </c>
      <c r="G3333" s="0" t="inlineStr">
        <is>
          <t>MENS</t>
        </is>
      </c>
      <c r="H3333" s="0" t="inlineStr">
        <is>
          <t>7XL</t>
        </is>
      </c>
      <c r="I3333" s="0">
        <v>44.99</v>
      </c>
      <c r="J3333" s="0">
        <v>2</v>
      </c>
    </row>
    <row r="3334" spans="1:10" customHeight="0">
      <c r="A3334" s="0">
        <f>HYPERLINK("https://dl.dropboxusercontent.com/scl/fi/je0q7tv7zg46bk7xh8nqs/94644af14256.jpg?rlkey=5lze7ejfx9ctw9iwhjpaxtizv&amp;dl=0","Click to download Image")</f>
      </c>
      <c r="B3334" s="0">
        <f>HYPERLINK("https://dl.dropboxusercontent.com/scl/fi/yzmytj22s1nmkrqd0yevd/mens-e.jpg?rlkey=2uqnhokyz2gfxf7c4u3ragb79&amp;dl=0","Click to download SizeChart")</f>
      </c>
      <c r="C3334" s="0" t="inlineStr">
        <is>
          <t>Harris Men's Polo</t>
        </is>
      </c>
      <c r="D3334" s="1">
        <v>94644</v>
      </c>
      <c r="E3334" s="0" t="inlineStr">
        <is>
          <t>HARRIS:94644K-8XL</t>
        </is>
      </c>
      <c r="G3334" s="0" t="inlineStr">
        <is>
          <t>MENS</t>
        </is>
      </c>
      <c r="H3334" s="0" t="inlineStr">
        <is>
          <t>8XL</t>
        </is>
      </c>
      <c r="I3334" s="0">
        <v>45.49</v>
      </c>
      <c r="J3334" s="0">
        <v>3</v>
      </c>
    </row>
    <row r="3335" spans="1:10" customHeight="0">
      <c r="A3335" s="0">
        <f>HYPERLINK("https://dl.dropboxusercontent.com/scl/fi/ldi7zouyivx6so8w7us5s/99842-af.jpg?rlkey=ivn2tdh1ynwwwkkx2h591b9a2&amp;dl=0","Click to download Image")</f>
      </c>
      <c r="B3335" s="0">
        <f>HYPERLINK("https://dl.dropboxusercontent.com/scl/fi/1bet637jptrmhx1091k6g/graphic-update2022-youth.jpg?rlkey=givi8me365o3ntdp5xg5d255e&amp;dl=0","Click to download SizeChart")</f>
      </c>
      <c r="C3335" s="0" t="inlineStr">
        <is>
          <t>Lane Youth Hoodie</t>
        </is>
      </c>
      <c r="D3335" s="1">
        <v>99842</v>
      </c>
      <c r="E3335" s="0" t="inlineStr">
        <is>
          <t>LANE:99842A-YS</t>
        </is>
      </c>
      <c r="G3335" s="0" t="inlineStr">
        <is>
          <t>YOUTH</t>
        </is>
      </c>
      <c r="H3335" s="0" t="inlineStr">
        <is>
          <t>YS</t>
        </is>
      </c>
      <c r="I3335" s="0">
        <v>39.99</v>
      </c>
      <c r="J3335" s="0">
        <v>29</v>
      </c>
    </row>
    <row r="3336" spans="1:10" customHeight="0">
      <c r="A3336" s="0">
        <f>HYPERLINK("https://dl.dropboxusercontent.com/scl/fi/ldi7zouyivx6so8w7us5s/99842-af.jpg?rlkey=ivn2tdh1ynwwwkkx2h591b9a2&amp;dl=0","Click to download Image")</f>
      </c>
      <c r="B3336" s="0">
        <f>HYPERLINK("https://dl.dropboxusercontent.com/scl/fi/1bet637jptrmhx1091k6g/graphic-update2022-youth.jpg?rlkey=givi8me365o3ntdp5xg5d255e&amp;dl=0","Click to download SizeChart")</f>
      </c>
      <c r="C3336" s="0" t="inlineStr">
        <is>
          <t>Lane Youth Hoodie</t>
        </is>
      </c>
      <c r="D3336" s="1">
        <v>99842</v>
      </c>
      <c r="E3336" s="0" t="inlineStr">
        <is>
          <t>LANE:99842B-YM</t>
        </is>
      </c>
      <c r="G3336" s="0" t="inlineStr">
        <is>
          <t>YOUTH</t>
        </is>
      </c>
      <c r="H3336" s="0" t="inlineStr">
        <is>
          <t>YM</t>
        </is>
      </c>
      <c r="I3336" s="0">
        <v>39.99</v>
      </c>
      <c r="J3336" s="0">
        <v>26</v>
      </c>
    </row>
    <row r="3337" spans="1:10" customHeight="0">
      <c r="A3337" s="0">
        <f>HYPERLINK("https://dl.dropboxusercontent.com/scl/fi/ldi7zouyivx6so8w7us5s/99842-af.jpg?rlkey=ivn2tdh1ynwwwkkx2h591b9a2&amp;dl=0","Click to download Image")</f>
      </c>
      <c r="B3337" s="0">
        <f>HYPERLINK("https://dl.dropboxusercontent.com/scl/fi/1bet637jptrmhx1091k6g/graphic-update2022-youth.jpg?rlkey=givi8me365o3ntdp5xg5d255e&amp;dl=0","Click to download SizeChart")</f>
      </c>
      <c r="C3337" s="0" t="inlineStr">
        <is>
          <t>Lane Youth Hoodie</t>
        </is>
      </c>
      <c r="D3337" s="1">
        <v>99842</v>
      </c>
      <c r="E3337" s="0" t="inlineStr">
        <is>
          <t>LANE:99842C-YL</t>
        </is>
      </c>
      <c r="G3337" s="0" t="inlineStr">
        <is>
          <t>YOUTH</t>
        </is>
      </c>
      <c r="H3337" s="0" t="inlineStr">
        <is>
          <t>YL</t>
        </is>
      </c>
      <c r="I3337" s="0">
        <v>39.99</v>
      </c>
      <c r="J3337" s="0">
        <v>59</v>
      </c>
    </row>
    <row r="3338" spans="1:10" customHeight="0">
      <c r="A3338" s="0">
        <f>HYPERLINK("https://dl.dropboxusercontent.com/scl/fi/ldi7zouyivx6so8w7us5s/99842-af.jpg?rlkey=ivn2tdh1ynwwwkkx2h591b9a2&amp;dl=0","Click to download Image")</f>
      </c>
      <c r="B3338" s="0">
        <f>HYPERLINK("https://dl.dropboxusercontent.com/scl/fi/1bet637jptrmhx1091k6g/graphic-update2022-youth.jpg?rlkey=givi8me365o3ntdp5xg5d255e&amp;dl=0","Click to download SizeChart")</f>
      </c>
      <c r="C3338" s="0" t="inlineStr">
        <is>
          <t>Lane Youth Hoodie</t>
        </is>
      </c>
      <c r="D3338" s="1">
        <v>99842</v>
      </c>
      <c r="E3338" s="0" t="inlineStr">
        <is>
          <t>LANE:99842D-YXL</t>
        </is>
      </c>
      <c r="G3338" s="0" t="inlineStr">
        <is>
          <t>YOUTH</t>
        </is>
      </c>
      <c r="H3338" s="0" t="inlineStr">
        <is>
          <t>YXL</t>
        </is>
      </c>
      <c r="I3338" s="0">
        <v>39.99</v>
      </c>
      <c r="J3338" s="0">
        <v>44</v>
      </c>
    </row>
    <row r="3339" spans="1:10" customHeight="0">
      <c r="A3339" s="0">
        <f>HYPERLINK("https://dl.dropboxusercontent.com/scl/fi/vwol9d73zrp9tdt1v76z8/jjcrossover-0392487.jpg?rlkey=ai56gse6w6h8zffto8m817q7y&amp;dl=0","Click to download Image")</f>
      </c>
      <c r="B3339" s="0">
        <f>HYPERLINK("https://dl.dropboxusercontent.com/scl/fi/jwyt5o8ozlgy2v9p87cto/mens-t-shirt-size-charts-slate-cason-ss.jpg?rlkey=ki5v58097htj7tnkeljg5zhuu&amp;dl=0","Click to download SizeChart")</f>
      </c>
      <c r="C3339" s="0" t="inlineStr">
        <is>
          <t>Crossover at Kinnick 2023 Men's Slate T-Shirt</t>
        </is>
      </c>
      <c r="D3339" s="1">
        <v>144757</v>
      </c>
      <c r="E3339" s="0" t="inlineStr">
        <is>
          <t>IOWA CROSS M BK:144757A-S</t>
        </is>
      </c>
      <c r="F3339" s="2">
        <v>800144757040</v>
      </c>
      <c r="G3339" s="0" t="inlineStr">
        <is>
          <t>MENS</t>
        </is>
      </c>
      <c r="H3339" s="0" t="inlineStr">
        <is>
          <t>S</t>
        </is>
      </c>
      <c r="I3339" s="0">
        <v>21.99</v>
      </c>
      <c r="J3339" s="0">
        <v>22</v>
      </c>
    </row>
    <row r="3340" spans="1:10" customHeight="0">
      <c r="A3340" s="0">
        <f>HYPERLINK("https://dl.dropboxusercontent.com/scl/fi/vwol9d73zrp9tdt1v76z8/jjcrossover-0392487.jpg?rlkey=ai56gse6w6h8zffto8m817q7y&amp;dl=0","Click to download Image")</f>
      </c>
      <c r="B3340" s="0">
        <f>HYPERLINK("https://dl.dropboxusercontent.com/scl/fi/jwyt5o8ozlgy2v9p87cto/mens-t-shirt-size-charts-slate-cason-ss.jpg?rlkey=ki5v58097htj7tnkeljg5zhuu&amp;dl=0","Click to download SizeChart")</f>
      </c>
      <c r="C3340" s="0" t="inlineStr">
        <is>
          <t>Crossover at Kinnick 2023 Men's Slate T-Shirt</t>
        </is>
      </c>
      <c r="D3340" s="1">
        <v>144757</v>
      </c>
      <c r="E3340" s="0" t="inlineStr">
        <is>
          <t>IOWA CROSS M BK:144757B-M</t>
        </is>
      </c>
      <c r="F3340" s="2">
        <v>800144757057</v>
      </c>
      <c r="G3340" s="0" t="inlineStr">
        <is>
          <t>MENS</t>
        </is>
      </c>
      <c r="H3340" s="0" t="inlineStr">
        <is>
          <t>M</t>
        </is>
      </c>
      <c r="I3340" s="0">
        <v>21.99</v>
      </c>
      <c r="J3340" s="0">
        <v>18</v>
      </c>
    </row>
    <row r="3341" spans="1:10" customHeight="0">
      <c r="A3341" s="0">
        <f>HYPERLINK("https://dl.dropboxusercontent.com/scl/fi/vwol9d73zrp9tdt1v76z8/jjcrossover-0392487.jpg?rlkey=ai56gse6w6h8zffto8m817q7y&amp;dl=0","Click to download Image")</f>
      </c>
      <c r="B3341" s="0">
        <f>HYPERLINK("https://dl.dropboxusercontent.com/scl/fi/jwyt5o8ozlgy2v9p87cto/mens-t-shirt-size-charts-slate-cason-ss.jpg?rlkey=ki5v58097htj7tnkeljg5zhuu&amp;dl=0","Click to download SizeChart")</f>
      </c>
      <c r="C3341" s="0" t="inlineStr">
        <is>
          <t>Crossover at Kinnick 2023 Men's Slate T-Shirt</t>
        </is>
      </c>
      <c r="D3341" s="1">
        <v>144757</v>
      </c>
      <c r="E3341" s="0" t="inlineStr">
        <is>
          <t>IOWA CROSS M BK:144757C-L</t>
        </is>
      </c>
      <c r="F3341" s="2">
        <v>800144757064</v>
      </c>
      <c r="G3341" s="0" t="inlineStr">
        <is>
          <t>MENS</t>
        </is>
      </c>
      <c r="H3341" s="0" t="inlineStr">
        <is>
          <t>L</t>
        </is>
      </c>
      <c r="I3341" s="0">
        <v>21.99</v>
      </c>
      <c r="J3341" s="0">
        <v>72</v>
      </c>
    </row>
    <row r="3342" spans="1:10" customHeight="0">
      <c r="A3342" s="0">
        <f>HYPERLINK("https://dl.dropboxusercontent.com/scl/fi/vwol9d73zrp9tdt1v76z8/jjcrossover-0392487.jpg?rlkey=ai56gse6w6h8zffto8m817q7y&amp;dl=0","Click to download Image")</f>
      </c>
      <c r="B3342" s="0">
        <f>HYPERLINK("https://dl.dropboxusercontent.com/scl/fi/jwyt5o8ozlgy2v9p87cto/mens-t-shirt-size-charts-slate-cason-ss.jpg?rlkey=ki5v58097htj7tnkeljg5zhuu&amp;dl=0","Click to download SizeChart")</f>
      </c>
      <c r="C3342" s="0" t="inlineStr">
        <is>
          <t>Crossover at Kinnick 2023 Men's Slate T-Shirt</t>
        </is>
      </c>
      <c r="D3342" s="1">
        <v>144757</v>
      </c>
      <c r="E3342" s="0" t="inlineStr">
        <is>
          <t>IOWA CROSS M BK:144757D-XL</t>
        </is>
      </c>
      <c r="F3342" s="2">
        <v>800144757071</v>
      </c>
      <c r="G3342" s="0" t="inlineStr">
        <is>
          <t>MENS</t>
        </is>
      </c>
      <c r="H3342" s="0" t="inlineStr">
        <is>
          <t>XL</t>
        </is>
      </c>
      <c r="I3342" s="0">
        <v>21.99</v>
      </c>
      <c r="J3342" s="0">
        <v>142</v>
      </c>
    </row>
    <row r="3343" spans="1:10" customHeight="0">
      <c r="A3343" s="0">
        <f>HYPERLINK("https://dl.dropboxusercontent.com/scl/fi/vwol9d73zrp9tdt1v76z8/jjcrossover-0392487.jpg?rlkey=ai56gse6w6h8zffto8m817q7y&amp;dl=0","Click to download Image")</f>
      </c>
      <c r="B3343" s="0">
        <f>HYPERLINK("https://dl.dropboxusercontent.com/scl/fi/jwyt5o8ozlgy2v9p87cto/mens-t-shirt-size-charts-slate-cason-ss.jpg?rlkey=ki5v58097htj7tnkeljg5zhuu&amp;dl=0","Click to download SizeChart")</f>
      </c>
      <c r="C3343" s="0" t="inlineStr">
        <is>
          <t>Crossover at Kinnick 2023 Men's Slate T-Shirt</t>
        </is>
      </c>
      <c r="D3343" s="1">
        <v>144757</v>
      </c>
      <c r="E3343" s="0" t="inlineStr">
        <is>
          <t>IOWA CROSS M BK:144757E-2XL</t>
        </is>
      </c>
      <c r="F3343" s="2">
        <v>800144757088</v>
      </c>
      <c r="G3343" s="0" t="inlineStr">
        <is>
          <t>MENS</t>
        </is>
      </c>
      <c r="H3343" s="0" t="inlineStr">
        <is>
          <t>2XL</t>
        </is>
      </c>
      <c r="I3343" s="0">
        <v>23.99</v>
      </c>
      <c r="J3343" s="0">
        <v>66</v>
      </c>
    </row>
    <row r="3344" spans="1:10" customHeight="0">
      <c r="A3344" s="0">
        <f>HYPERLINK("https://dl.dropboxusercontent.com/scl/fi/vwol9d73zrp9tdt1v76z8/jjcrossover-0392487.jpg?rlkey=ai56gse6w6h8zffto8m817q7y&amp;dl=0","Click to download Image")</f>
      </c>
      <c r="B3344" s="0">
        <f>HYPERLINK("https://dl.dropboxusercontent.com/scl/fi/jwyt5o8ozlgy2v9p87cto/mens-t-shirt-size-charts-slate-cason-ss.jpg?rlkey=ki5v58097htj7tnkeljg5zhuu&amp;dl=0","Click to download SizeChart")</f>
      </c>
      <c r="C3344" s="0" t="inlineStr">
        <is>
          <t>Crossover at Kinnick 2023 Men's Slate T-Shirt</t>
        </is>
      </c>
      <c r="D3344" s="1">
        <v>144757</v>
      </c>
      <c r="E3344" s="0" t="inlineStr">
        <is>
          <t>IOWA CROSS M BK:144757F-3XL</t>
        </is>
      </c>
      <c r="F3344" s="2">
        <v>800144757095</v>
      </c>
      <c r="G3344" s="0" t="inlineStr">
        <is>
          <t>MENS</t>
        </is>
      </c>
      <c r="H3344" s="0" t="inlineStr">
        <is>
          <t>3XL</t>
        </is>
      </c>
      <c r="I3344" s="0">
        <v>23.99</v>
      </c>
      <c r="J3344" s="0">
        <v>31</v>
      </c>
    </row>
    <row r="3345" spans="1:10" customHeight="0">
      <c r="A3345" s="0">
        <f>HYPERLINK("https://dl.dropboxusercontent.com/scl/fi/mfcsipysc3yh2gu7p42v6/jjcrossover-0274749.jpg?rlkey=wcqnuk1k44y7mx7ozzmek267a&amp;dl=0","Click to download Image")</f>
      </c>
      <c r="B3345" s="0">
        <f>HYPERLINK("https://dl.dropboxusercontent.com/scl/fi/jwyt5o8ozlgy2v9p87cto/mens-t-shirt-size-charts-slate-cason-ss.jpg?rlkey=ki5v58097htj7tnkeljg5zhuu&amp;dl=0","Click to download SizeChart")</f>
      </c>
      <c r="C3345" s="0" t="inlineStr">
        <is>
          <t>Crossover at Kinnick 2023 Men's Slate T-Shirt</t>
        </is>
      </c>
      <c r="D3345" s="1">
        <v>144756</v>
      </c>
      <c r="E3345" s="0" t="inlineStr">
        <is>
          <t>IOWA CROSS M GD:144756A-S</t>
        </is>
      </c>
      <c r="F3345" s="2">
        <v>800144756043</v>
      </c>
      <c r="G3345" s="0" t="inlineStr">
        <is>
          <t>MENS</t>
        </is>
      </c>
      <c r="H3345" s="0" t="inlineStr">
        <is>
          <t>S</t>
        </is>
      </c>
      <c r="I3345" s="0">
        <v>21.99</v>
      </c>
      <c r="J3345" s="0">
        <v>2</v>
      </c>
    </row>
    <row r="3346" spans="1:10" customHeight="0">
      <c r="A3346" s="0">
        <f>HYPERLINK("https://dl.dropboxusercontent.com/scl/fi/mfcsipysc3yh2gu7p42v6/jjcrossover-0274749.jpg?rlkey=wcqnuk1k44y7mx7ozzmek267a&amp;dl=0","Click to download Image")</f>
      </c>
      <c r="B3346" s="0">
        <f>HYPERLINK("https://dl.dropboxusercontent.com/scl/fi/jwyt5o8ozlgy2v9p87cto/mens-t-shirt-size-charts-slate-cason-ss.jpg?rlkey=ki5v58097htj7tnkeljg5zhuu&amp;dl=0","Click to download SizeChart")</f>
      </c>
      <c r="C3346" s="0" t="inlineStr">
        <is>
          <t>Crossover at Kinnick 2023 Men's Slate T-Shirt</t>
        </is>
      </c>
      <c r="D3346" s="1">
        <v>144756</v>
      </c>
      <c r="E3346" s="0" t="inlineStr">
        <is>
          <t>IOWA CROSS M GD:144756B-M</t>
        </is>
      </c>
      <c r="F3346" s="2">
        <v>800144756050</v>
      </c>
      <c r="G3346" s="0" t="inlineStr">
        <is>
          <t>MENS</t>
        </is>
      </c>
      <c r="H3346" s="0" t="inlineStr">
        <is>
          <t>M</t>
        </is>
      </c>
      <c r="I3346" s="0">
        <v>21.99</v>
      </c>
      <c r="J3346" s="0">
        <v>4</v>
      </c>
    </row>
    <row r="3347" spans="1:10" customHeight="0">
      <c r="A3347" s="0">
        <f>HYPERLINK("https://dl.dropboxusercontent.com/scl/fi/mfcsipysc3yh2gu7p42v6/jjcrossover-0274749.jpg?rlkey=wcqnuk1k44y7mx7ozzmek267a&amp;dl=0","Click to download Image")</f>
      </c>
      <c r="B3347" s="0">
        <f>HYPERLINK("https://dl.dropboxusercontent.com/scl/fi/jwyt5o8ozlgy2v9p87cto/mens-t-shirt-size-charts-slate-cason-ss.jpg?rlkey=ki5v58097htj7tnkeljg5zhuu&amp;dl=0","Click to download SizeChart")</f>
      </c>
      <c r="C3347" s="0" t="inlineStr">
        <is>
          <t>Crossover at Kinnick 2023 Men's Slate T-Shirt</t>
        </is>
      </c>
      <c r="D3347" s="1">
        <v>144756</v>
      </c>
      <c r="E3347" s="0" t="inlineStr">
        <is>
          <t>IOWA CROSS M GD:144756C-L</t>
        </is>
      </c>
      <c r="F3347" s="2">
        <v>800144756067</v>
      </c>
      <c r="G3347" s="0" t="inlineStr">
        <is>
          <t>MENS</t>
        </is>
      </c>
      <c r="H3347" s="0" t="inlineStr">
        <is>
          <t>L</t>
        </is>
      </c>
      <c r="I3347" s="0">
        <v>21.99</v>
      </c>
      <c r="J3347" s="0">
        <v>2</v>
      </c>
    </row>
    <row r="3348" spans="1:10" customHeight="0">
      <c r="A3348" s="0">
        <f>HYPERLINK("https://dl.dropboxusercontent.com/scl/fi/mfcsipysc3yh2gu7p42v6/jjcrossover-0274749.jpg?rlkey=wcqnuk1k44y7mx7ozzmek267a&amp;dl=0","Click to download Image")</f>
      </c>
      <c r="B3348" s="0">
        <f>HYPERLINK("https://dl.dropboxusercontent.com/scl/fi/jwyt5o8ozlgy2v9p87cto/mens-t-shirt-size-charts-slate-cason-ss.jpg?rlkey=ki5v58097htj7tnkeljg5zhuu&amp;dl=0","Click to download SizeChart")</f>
      </c>
      <c r="C3348" s="0" t="inlineStr">
        <is>
          <t>Crossover at Kinnick 2023 Men's Slate T-Shirt</t>
        </is>
      </c>
      <c r="D3348" s="1">
        <v>144756</v>
      </c>
      <c r="E3348" s="0" t="inlineStr">
        <is>
          <t>IOWA CROSS M GD:144756D-XL</t>
        </is>
      </c>
      <c r="F3348" s="2">
        <v>800144756074</v>
      </c>
      <c r="G3348" s="0" t="inlineStr">
        <is>
          <t>MENS</t>
        </is>
      </c>
      <c r="H3348" s="0" t="inlineStr">
        <is>
          <t>XL</t>
        </is>
      </c>
      <c r="I3348" s="0">
        <v>21.99</v>
      </c>
      <c r="J3348" s="0">
        <v>9</v>
      </c>
    </row>
    <row r="3349" spans="1:10" customHeight="0">
      <c r="A3349" s="0">
        <f>HYPERLINK("https://dl.dropboxusercontent.com/scl/fi/mfcsipysc3yh2gu7p42v6/jjcrossover-0274749.jpg?rlkey=wcqnuk1k44y7mx7ozzmek267a&amp;dl=0","Click to download Image")</f>
      </c>
      <c r="B3349" s="0">
        <f>HYPERLINK("https://dl.dropboxusercontent.com/scl/fi/jwyt5o8ozlgy2v9p87cto/mens-t-shirt-size-charts-slate-cason-ss.jpg?rlkey=ki5v58097htj7tnkeljg5zhuu&amp;dl=0","Click to download SizeChart")</f>
      </c>
      <c r="C3349" s="0" t="inlineStr">
        <is>
          <t>Crossover at Kinnick 2023 Men's Slate T-Shirt</t>
        </is>
      </c>
      <c r="D3349" s="1">
        <v>144756</v>
      </c>
      <c r="E3349" s="0" t="inlineStr">
        <is>
          <t>IOWA CROSS M GD:144756E-2XL</t>
        </is>
      </c>
      <c r="F3349" s="2">
        <v>800144756081</v>
      </c>
      <c r="G3349" s="0" t="inlineStr">
        <is>
          <t>MENS</t>
        </is>
      </c>
      <c r="H3349" s="0" t="inlineStr">
        <is>
          <t>2XL</t>
        </is>
      </c>
      <c r="I3349" s="0">
        <v>23.99</v>
      </c>
      <c r="J3349" s="0">
        <v>1</v>
      </c>
    </row>
    <row r="3350" spans="1:10" customHeight="0">
      <c r="A3350" s="0">
        <f>HYPERLINK("https://dl.dropboxusercontent.com/scl/fi/mfcsipysc3yh2gu7p42v6/jjcrossover-0274749.jpg?rlkey=wcqnuk1k44y7mx7ozzmek267a&amp;dl=0","Click to download Image")</f>
      </c>
      <c r="B3350" s="0">
        <f>HYPERLINK("https://dl.dropboxusercontent.com/scl/fi/jwyt5o8ozlgy2v9p87cto/mens-t-shirt-size-charts-slate-cason-ss.jpg?rlkey=ki5v58097htj7tnkeljg5zhuu&amp;dl=0","Click to download SizeChart")</f>
      </c>
      <c r="C3350" s="0" t="inlineStr">
        <is>
          <t>Crossover at Kinnick 2023 Men's Slate T-Shirt</t>
        </is>
      </c>
      <c r="D3350" s="1">
        <v>144756</v>
      </c>
      <c r="E3350" s="0" t="inlineStr">
        <is>
          <t>IOWA CROSS M GD:144756F-3XL</t>
        </is>
      </c>
      <c r="F3350" s="2">
        <v>800144756098</v>
      </c>
      <c r="G3350" s="0" t="inlineStr">
        <is>
          <t>MENS</t>
        </is>
      </c>
      <c r="H3350" s="0" t="inlineStr">
        <is>
          <t>3XL</t>
        </is>
      </c>
      <c r="I3350" s="0">
        <v>23.99</v>
      </c>
      <c r="J3350" s="0">
        <v>2</v>
      </c>
    </row>
    <row r="3351" spans="1:10" customHeight="0">
      <c r="A3351" s="0">
        <f>HYPERLINK("https://dl.dropboxusercontent.com/scl/fi/pdeutlcg0zgr5iv48cc7e/99976af.png?rlkey=3ktgizc041uqcp403zpu0tvj7&amp;dl=0","Click to download Image")</f>
      </c>
      <c r="B3351" s="0">
        <f>HYPERLINK("https://dl.dropboxusercontent.com/scl/fi/doqy0hzji1j9aimvfbbxc/size-charts-women-s-standard-relaxed-fit-2.jpg?rlkey=3m1qesy4118pbq1472shvters&amp;dl=0","Click to download SizeChart")</f>
      </c>
      <c r="C3351" s="0" t="inlineStr">
        <is>
          <t>Evelyn Women's T-Shirt</t>
        </is>
      </c>
      <c r="D3351" s="1">
        <v>99976</v>
      </c>
      <c r="E3351" s="0" t="inlineStr">
        <is>
          <t>EVELYN:99976A-S</t>
        </is>
      </c>
      <c r="G3351" s="0" t="inlineStr">
        <is>
          <t>WOMENS</t>
        </is>
      </c>
      <c r="H3351" s="0" t="inlineStr">
        <is>
          <t>S</t>
        </is>
      </c>
      <c r="I3351" s="0">
        <v>39.99</v>
      </c>
      <c r="J3351" s="0">
        <v>81</v>
      </c>
    </row>
    <row r="3352" spans="1:10" customHeight="0">
      <c r="A3352" s="0">
        <f>HYPERLINK("https://dl.dropboxusercontent.com/scl/fi/pdeutlcg0zgr5iv48cc7e/99976af.png?rlkey=3ktgizc041uqcp403zpu0tvj7&amp;dl=0","Click to download Image")</f>
      </c>
      <c r="B3352" s="0">
        <f>HYPERLINK("https://dl.dropboxusercontent.com/scl/fi/doqy0hzji1j9aimvfbbxc/size-charts-women-s-standard-relaxed-fit-2.jpg?rlkey=3m1qesy4118pbq1472shvters&amp;dl=0","Click to download SizeChart")</f>
      </c>
      <c r="C3352" s="0" t="inlineStr">
        <is>
          <t>Evelyn Women's T-Shirt</t>
        </is>
      </c>
      <c r="D3352" s="1">
        <v>99976</v>
      </c>
      <c r="E3352" s="0" t="inlineStr">
        <is>
          <t>EVELYN:99976B-M</t>
        </is>
      </c>
      <c r="G3352" s="0" t="inlineStr">
        <is>
          <t>WOMENS</t>
        </is>
      </c>
      <c r="H3352" s="0" t="inlineStr">
        <is>
          <t>M</t>
        </is>
      </c>
      <c r="I3352" s="0">
        <v>39.99</v>
      </c>
      <c r="J3352" s="0">
        <v>99</v>
      </c>
    </row>
    <row r="3353" spans="1:10" customHeight="0">
      <c r="A3353" s="0">
        <f>HYPERLINK("https://dl.dropboxusercontent.com/scl/fi/pdeutlcg0zgr5iv48cc7e/99976af.png?rlkey=3ktgizc041uqcp403zpu0tvj7&amp;dl=0","Click to download Image")</f>
      </c>
      <c r="B3353" s="0">
        <f>HYPERLINK("https://dl.dropboxusercontent.com/scl/fi/doqy0hzji1j9aimvfbbxc/size-charts-women-s-standard-relaxed-fit-2.jpg?rlkey=3m1qesy4118pbq1472shvters&amp;dl=0","Click to download SizeChart")</f>
      </c>
      <c r="C3353" s="0" t="inlineStr">
        <is>
          <t>Evelyn Women's T-Shirt</t>
        </is>
      </c>
      <c r="D3353" s="1">
        <v>99976</v>
      </c>
      <c r="E3353" s="0" t="inlineStr">
        <is>
          <t>EVELYN:99976C-L</t>
        </is>
      </c>
      <c r="G3353" s="0" t="inlineStr">
        <is>
          <t>WOMENS</t>
        </is>
      </c>
      <c r="H3353" s="0" t="inlineStr">
        <is>
          <t>L</t>
        </is>
      </c>
      <c r="I3353" s="0">
        <v>39.99</v>
      </c>
      <c r="J3353" s="0">
        <v>96</v>
      </c>
    </row>
    <row r="3354" spans="1:10" customHeight="0">
      <c r="A3354" s="0">
        <f>HYPERLINK("https://dl.dropboxusercontent.com/scl/fi/pdeutlcg0zgr5iv48cc7e/99976af.png?rlkey=3ktgizc041uqcp403zpu0tvj7&amp;dl=0","Click to download Image")</f>
      </c>
      <c r="B3354" s="0">
        <f>HYPERLINK("https://dl.dropboxusercontent.com/scl/fi/doqy0hzji1j9aimvfbbxc/size-charts-women-s-standard-relaxed-fit-2.jpg?rlkey=3m1qesy4118pbq1472shvters&amp;dl=0","Click to download SizeChart")</f>
      </c>
      <c r="C3354" s="0" t="inlineStr">
        <is>
          <t>Evelyn Women's T-Shirt</t>
        </is>
      </c>
      <c r="D3354" s="1">
        <v>99976</v>
      </c>
      <c r="E3354" s="0" t="inlineStr">
        <is>
          <t>EVELYN:99976D-XL</t>
        </is>
      </c>
      <c r="G3354" s="0" t="inlineStr">
        <is>
          <t>WOMENS</t>
        </is>
      </c>
      <c r="H3354" s="0" t="inlineStr">
        <is>
          <t>XL</t>
        </is>
      </c>
      <c r="I3354" s="0">
        <v>39.99</v>
      </c>
      <c r="J3354" s="0">
        <v>71</v>
      </c>
    </row>
    <row r="3355" spans="1:10" customHeight="0">
      <c r="A3355" s="0">
        <f>HYPERLINK("https://dl.dropboxusercontent.com/scl/fi/pdeutlcg0zgr5iv48cc7e/99976af.png?rlkey=3ktgizc041uqcp403zpu0tvj7&amp;dl=0","Click to download Image")</f>
      </c>
      <c r="B3355" s="0">
        <f>HYPERLINK("https://dl.dropboxusercontent.com/scl/fi/doqy0hzji1j9aimvfbbxc/size-charts-women-s-standard-relaxed-fit-2.jpg?rlkey=3m1qesy4118pbq1472shvters&amp;dl=0","Click to download SizeChart")</f>
      </c>
      <c r="C3355" s="0" t="inlineStr">
        <is>
          <t>Evelyn Women's T-Shirt</t>
        </is>
      </c>
      <c r="D3355" s="1">
        <v>99976</v>
      </c>
      <c r="E3355" s="0" t="inlineStr">
        <is>
          <t>EVELYN:99976E-2XL</t>
        </is>
      </c>
      <c r="G3355" s="0" t="inlineStr">
        <is>
          <t>WOMENS</t>
        </is>
      </c>
      <c r="H3355" s="0" t="inlineStr">
        <is>
          <t>2XL</t>
        </is>
      </c>
      <c r="I3355" s="0">
        <v>41.99</v>
      </c>
      <c r="J3355" s="0">
        <v>75</v>
      </c>
    </row>
    <row r="3356" spans="1:10" customHeight="0">
      <c r="A3356" s="0">
        <f>HYPERLINK("https://dl.dropboxusercontent.com/scl/fi/pdeutlcg0zgr5iv48cc7e/99976af.png?rlkey=3ktgizc041uqcp403zpu0tvj7&amp;dl=0","Click to download Image")</f>
      </c>
      <c r="B3356" s="0">
        <f>HYPERLINK("https://dl.dropboxusercontent.com/scl/fi/doqy0hzji1j9aimvfbbxc/size-charts-women-s-standard-relaxed-fit-2.jpg?rlkey=3m1qesy4118pbq1472shvters&amp;dl=0","Click to download SizeChart")</f>
      </c>
      <c r="C3356" s="0" t="inlineStr">
        <is>
          <t>Evelyn Women's T-Shirt</t>
        </is>
      </c>
      <c r="D3356" s="1">
        <v>99976</v>
      </c>
      <c r="E3356" s="0" t="inlineStr">
        <is>
          <t>EVELYN:99976F-3XL</t>
        </is>
      </c>
      <c r="G3356" s="0" t="inlineStr">
        <is>
          <t>WOMENS</t>
        </is>
      </c>
      <c r="H3356" s="0" t="inlineStr">
        <is>
          <t>3XL</t>
        </is>
      </c>
      <c r="I3356" s="0">
        <v>41.99</v>
      </c>
      <c r="J3356" s="0">
        <v>17</v>
      </c>
    </row>
    <row r="3357" spans="1:10" customHeight="0">
      <c r="A3357" s="0">
        <f>HYPERLINK("https://dl.dropboxusercontent.com/scl/fi/qvopih6rr892jenk8bf79/98642af60151.jpg?rlkey=zldosdf3z6m7rf92tydp6f2u5&amp;dl=0","Click to download Image")</f>
      </c>
      <c r="C3357" s="0" t="inlineStr">
        <is>
          <t>Emerson Youth Beanie</t>
        </is>
      </c>
      <c r="D3357" s="1">
        <v>98642</v>
      </c>
      <c r="E3357" s="0" t="inlineStr">
        <is>
          <t>EMERSON:98642</t>
        </is>
      </c>
      <c r="G3357" s="0" t="inlineStr">
        <is>
          <t>YOUTH</t>
        </is>
      </c>
      <c r="H3357" s="0" t="inlineStr">
        <is>
          <t>YOUTH</t>
        </is>
      </c>
      <c r="I3357" s="0">
        <v>24.99</v>
      </c>
      <c r="J3357" s="0">
        <v>146</v>
      </c>
    </row>
    <row r="3358" spans="1:10" customHeight="0">
      <c r="A3358" s="0">
        <f>HYPERLINK("https://dl.dropboxusercontent.com/scl/fi/1cay63nxp9su0e20aepx0/jacobt.jpg?rlkey=14nj9z4xd6bf2s6536wui6ioo&amp;dl=0","Click to download Image")</f>
      </c>
      <c r="C3358" s="0" t="inlineStr">
        <is>
          <t>Jacob Toddler Long Sleeve</t>
        </is>
      </c>
      <c r="D3358" s="1">
        <v>95716</v>
      </c>
      <c r="E3358" s="0" t="inlineStr">
        <is>
          <t>JACOB:95716A-2T</t>
        </is>
      </c>
      <c r="G3358" s="0" t="inlineStr">
        <is>
          <t>TODDLER</t>
        </is>
      </c>
      <c r="H3358" s="0" t="inlineStr">
        <is>
          <t>2T</t>
        </is>
      </c>
      <c r="I3358" s="0">
        <v>24.99</v>
      </c>
      <c r="J3358" s="0">
        <v>51</v>
      </c>
    </row>
    <row r="3359" spans="1:10" customHeight="0">
      <c r="A3359" s="0">
        <f>HYPERLINK("https://dl.dropboxusercontent.com/scl/fi/1cay63nxp9su0e20aepx0/jacobt.jpg?rlkey=14nj9z4xd6bf2s6536wui6ioo&amp;dl=0","Click to download Image")</f>
      </c>
      <c r="C3359" s="0" t="inlineStr">
        <is>
          <t>Jacob Toddler Long Sleeve</t>
        </is>
      </c>
      <c r="D3359" s="1">
        <v>95716</v>
      </c>
      <c r="E3359" s="0" t="inlineStr">
        <is>
          <t>JACOB:95716B-3T</t>
        </is>
      </c>
      <c r="G3359" s="0" t="inlineStr">
        <is>
          <t>TODDLER</t>
        </is>
      </c>
      <c r="H3359" s="0" t="inlineStr">
        <is>
          <t>3T</t>
        </is>
      </c>
      <c r="I3359" s="0">
        <v>24.99</v>
      </c>
      <c r="J3359" s="0">
        <v>54</v>
      </c>
    </row>
    <row r="3360" spans="1:10" customHeight="0">
      <c r="A3360" s="0">
        <f>HYPERLINK("https://dl.dropboxusercontent.com/scl/fi/1cay63nxp9su0e20aepx0/jacobt.jpg?rlkey=14nj9z4xd6bf2s6536wui6ioo&amp;dl=0","Click to download Image")</f>
      </c>
      <c r="C3360" s="0" t="inlineStr">
        <is>
          <t>Jacob Toddler Long Sleeve</t>
        </is>
      </c>
      <c r="D3360" s="1">
        <v>95716</v>
      </c>
      <c r="E3360" s="0" t="inlineStr">
        <is>
          <t>JACOB:95716C-4T</t>
        </is>
      </c>
      <c r="G3360" s="0" t="inlineStr">
        <is>
          <t>TODDLER</t>
        </is>
      </c>
      <c r="H3360" s="0" t="inlineStr">
        <is>
          <t>4T</t>
        </is>
      </c>
      <c r="I3360" s="0">
        <v>24.99</v>
      </c>
      <c r="J3360" s="0">
        <v>55</v>
      </c>
    </row>
    <row r="3361" spans="1:10" customHeight="0">
      <c r="A3361" s="0">
        <f>HYPERLINK("https://dl.dropboxusercontent.com/scl/fi/1cay63nxp9su0e20aepx0/jacobt.jpg?rlkey=14nj9z4xd6bf2s6536wui6ioo&amp;dl=0","Click to download Image")</f>
      </c>
      <c r="C3361" s="0" t="inlineStr">
        <is>
          <t>Jacob Toddler Long Sleeve</t>
        </is>
      </c>
      <c r="D3361" s="1">
        <v>95716</v>
      </c>
      <c r="E3361" s="0" t="inlineStr">
        <is>
          <t>JACOB:95716D-5T</t>
        </is>
      </c>
      <c r="G3361" s="0" t="inlineStr">
        <is>
          <t>TODDLER</t>
        </is>
      </c>
      <c r="H3361" s="0" t="inlineStr">
        <is>
          <t>5T</t>
        </is>
      </c>
      <c r="I3361" s="0">
        <v>24.99</v>
      </c>
      <c r="J3361" s="0">
        <v>63</v>
      </c>
    </row>
    <row r="3362" spans="1:10" customHeight="0">
      <c r="A3362" s="0">
        <f>HYPERLINK("https://dl.dropboxusercontent.com/scl/fi/djm4advlf79cmavf1e78f/99575af.jpg?rlkey=4p5q47duu8i0bk2p6f2027iup&amp;dl=0","Click to download Image")</f>
      </c>
      <c r="B3362" s="0">
        <f>HYPERLINK("https://dl.dropboxusercontent.com/scl/fi/totsrrzqb2i2y4ozoyf0j/graphic-update2022-youth.jpg?rlkey=0zf4z9wp1p6qeqtyv9fy02ler&amp;dl=0","Click to download SizeChart")</f>
      </c>
      <c r="C3362" s="0" t="inlineStr">
        <is>
          <t>Blair Youth T-Shirt</t>
        </is>
      </c>
      <c r="D3362" s="1">
        <v>99575</v>
      </c>
      <c r="E3362" s="0" t="inlineStr">
        <is>
          <t>BLAIR:99575A-S</t>
        </is>
      </c>
      <c r="G3362" s="0" t="inlineStr">
        <is>
          <t>YOUTH</t>
        </is>
      </c>
      <c r="H3362" s="0" t="inlineStr">
        <is>
          <t>YS</t>
        </is>
      </c>
      <c r="I3362" s="0">
        <v>24.99</v>
      </c>
      <c r="J3362" s="0">
        <v>0</v>
      </c>
    </row>
    <row r="3363" spans="1:10" customHeight="0">
      <c r="A3363" s="0">
        <f>HYPERLINK("https://dl.dropboxusercontent.com/scl/fi/djm4advlf79cmavf1e78f/99575af.jpg?rlkey=4p5q47duu8i0bk2p6f2027iup&amp;dl=0","Click to download Image")</f>
      </c>
      <c r="B3363" s="0">
        <f>HYPERLINK("https://dl.dropboxusercontent.com/scl/fi/totsrrzqb2i2y4ozoyf0j/graphic-update2022-youth.jpg?rlkey=0zf4z9wp1p6qeqtyv9fy02ler&amp;dl=0","Click to download SizeChart")</f>
      </c>
      <c r="C3363" s="0" t="inlineStr">
        <is>
          <t>Blair Youth T-Shirt</t>
        </is>
      </c>
      <c r="D3363" s="1">
        <v>99575</v>
      </c>
      <c r="E3363" s="0" t="inlineStr">
        <is>
          <t>BLAIR:99575B-M</t>
        </is>
      </c>
      <c r="G3363" s="0" t="inlineStr">
        <is>
          <t>YOUTH</t>
        </is>
      </c>
      <c r="H3363" s="0" t="inlineStr">
        <is>
          <t>YM</t>
        </is>
      </c>
      <c r="I3363" s="0">
        <v>24.99</v>
      </c>
      <c r="J3363" s="0">
        <v>0</v>
      </c>
    </row>
    <row r="3364" spans="1:10" customHeight="0">
      <c r="A3364" s="0">
        <f>HYPERLINK("https://dl.dropboxusercontent.com/scl/fi/djm4advlf79cmavf1e78f/99575af.jpg?rlkey=4p5q47duu8i0bk2p6f2027iup&amp;dl=0","Click to download Image")</f>
      </c>
      <c r="B3364" s="0">
        <f>HYPERLINK("https://dl.dropboxusercontent.com/scl/fi/totsrrzqb2i2y4ozoyf0j/graphic-update2022-youth.jpg?rlkey=0zf4z9wp1p6qeqtyv9fy02ler&amp;dl=0","Click to download SizeChart")</f>
      </c>
      <c r="C3364" s="0" t="inlineStr">
        <is>
          <t>Blair Youth T-Shirt</t>
        </is>
      </c>
      <c r="D3364" s="1">
        <v>99575</v>
      </c>
      <c r="E3364" s="0" t="inlineStr">
        <is>
          <t>BLAIR:99575C-L</t>
        </is>
      </c>
      <c r="G3364" s="0" t="inlineStr">
        <is>
          <t>YOUTH</t>
        </is>
      </c>
      <c r="H3364" s="0" t="inlineStr">
        <is>
          <t>YL</t>
        </is>
      </c>
      <c r="I3364" s="0">
        <v>24.99</v>
      </c>
      <c r="J3364" s="0">
        <v>9</v>
      </c>
    </row>
    <row r="3365" spans="1:10" customHeight="0">
      <c r="A3365" s="0">
        <f>HYPERLINK("https://dl.dropboxusercontent.com/scl/fi/djm4advlf79cmavf1e78f/99575af.jpg?rlkey=4p5q47duu8i0bk2p6f2027iup&amp;dl=0","Click to download Image")</f>
      </c>
      <c r="B3365" s="0">
        <f>HYPERLINK("https://dl.dropboxusercontent.com/scl/fi/totsrrzqb2i2y4ozoyf0j/graphic-update2022-youth.jpg?rlkey=0zf4z9wp1p6qeqtyv9fy02ler&amp;dl=0","Click to download SizeChart")</f>
      </c>
      <c r="C3365" s="0" t="inlineStr">
        <is>
          <t>Blair Youth T-Shirt</t>
        </is>
      </c>
      <c r="D3365" s="1">
        <v>99575</v>
      </c>
      <c r="E3365" s="0" t="inlineStr">
        <is>
          <t>BLAIR:99575D-XL</t>
        </is>
      </c>
      <c r="G3365" s="0" t="inlineStr">
        <is>
          <t>YOUTH</t>
        </is>
      </c>
      <c r="H3365" s="0" t="inlineStr">
        <is>
          <t>YXL</t>
        </is>
      </c>
      <c r="I3365" s="0">
        <v>24.99</v>
      </c>
      <c r="J3365" s="0">
        <v>27</v>
      </c>
    </row>
    <row r="3366" spans="1:10" customHeight="0">
      <c r="A3366" s="0">
        <f>HYPERLINK("https://dl.dropboxusercontent.com/scl/fi/etf9xwaz8hgt7tbtt356q/afton-t.jpg?rlkey=4p66o2j4020o94p38051kpeck&amp;dl=0","Click to download Image")</f>
      </c>
      <c r="B3366" s="0">
        <f>HYPERLINK("https://dl.dropboxusercontent.com/scl/fi/wev0jiq8ueme1riz00kid/size-charts-youth-standard-shirt.jpg?rlkey=eb6bus7b03d0gkft8x12jyh7u&amp;dl=0","Click to download SizeChart")</f>
      </c>
      <c r="C3366" s="0" t="inlineStr">
        <is>
          <t>Afton Youth T-Shirt</t>
        </is>
      </c>
      <c r="D3366" s="1">
        <v>101464</v>
      </c>
      <c r="E3366" s="0" t="inlineStr">
        <is>
          <t>AFTON:101464A-YS</t>
        </is>
      </c>
      <c r="G3366" s="0" t="inlineStr">
        <is>
          <t>YOUTH</t>
        </is>
      </c>
      <c r="H3366" s="0" t="inlineStr">
        <is>
          <t>YS</t>
        </is>
      </c>
      <c r="I3366" s="0">
        <v>25.99</v>
      </c>
      <c r="J3366" s="0">
        <v>45</v>
      </c>
    </row>
    <row r="3367" spans="1:10" customHeight="0">
      <c r="A3367" s="0">
        <f>HYPERLINK("https://dl.dropboxusercontent.com/scl/fi/etf9xwaz8hgt7tbtt356q/afton-t.jpg?rlkey=4p66o2j4020o94p38051kpeck&amp;dl=0","Click to download Image")</f>
      </c>
      <c r="B3367" s="0">
        <f>HYPERLINK("https://dl.dropboxusercontent.com/scl/fi/wev0jiq8ueme1riz00kid/size-charts-youth-standard-shirt.jpg?rlkey=eb6bus7b03d0gkft8x12jyh7u&amp;dl=0","Click to download SizeChart")</f>
      </c>
      <c r="C3367" s="0" t="inlineStr">
        <is>
          <t>Afton Youth T-Shirt</t>
        </is>
      </c>
      <c r="D3367" s="1">
        <v>101464</v>
      </c>
      <c r="E3367" s="0" t="inlineStr">
        <is>
          <t>AFTON:101464B-YM</t>
        </is>
      </c>
      <c r="G3367" s="0" t="inlineStr">
        <is>
          <t>YOUTH</t>
        </is>
      </c>
      <c r="H3367" s="0" t="inlineStr">
        <is>
          <t>YM</t>
        </is>
      </c>
      <c r="I3367" s="0">
        <v>25.99</v>
      </c>
      <c r="J3367" s="0">
        <v>36</v>
      </c>
    </row>
    <row r="3368" spans="1:10" customHeight="0">
      <c r="A3368" s="0">
        <f>HYPERLINK("https://dl.dropboxusercontent.com/scl/fi/etf9xwaz8hgt7tbtt356q/afton-t.jpg?rlkey=4p66o2j4020o94p38051kpeck&amp;dl=0","Click to download Image")</f>
      </c>
      <c r="B3368" s="0">
        <f>HYPERLINK("https://dl.dropboxusercontent.com/scl/fi/wev0jiq8ueme1riz00kid/size-charts-youth-standard-shirt.jpg?rlkey=eb6bus7b03d0gkft8x12jyh7u&amp;dl=0","Click to download SizeChart")</f>
      </c>
      <c r="C3368" s="0" t="inlineStr">
        <is>
          <t>Afton Youth T-Shirt</t>
        </is>
      </c>
      <c r="D3368" s="1">
        <v>101464</v>
      </c>
      <c r="E3368" s="0" t="inlineStr">
        <is>
          <t>AFTON:101464C-YL</t>
        </is>
      </c>
      <c r="G3368" s="0" t="inlineStr">
        <is>
          <t>YOUTH</t>
        </is>
      </c>
      <c r="H3368" s="0" t="inlineStr">
        <is>
          <t>YL</t>
        </is>
      </c>
      <c r="I3368" s="0">
        <v>25.99</v>
      </c>
      <c r="J3368" s="0">
        <v>50</v>
      </c>
    </row>
    <row r="3369" spans="1:10" customHeight="0">
      <c r="A3369" s="0">
        <f>HYPERLINK("https://dl.dropboxusercontent.com/scl/fi/etf9xwaz8hgt7tbtt356q/afton-t.jpg?rlkey=4p66o2j4020o94p38051kpeck&amp;dl=0","Click to download Image")</f>
      </c>
      <c r="B3369" s="0">
        <f>HYPERLINK("https://dl.dropboxusercontent.com/scl/fi/wev0jiq8ueme1riz00kid/size-charts-youth-standard-shirt.jpg?rlkey=eb6bus7b03d0gkft8x12jyh7u&amp;dl=0","Click to download SizeChart")</f>
      </c>
      <c r="C3369" s="0" t="inlineStr">
        <is>
          <t>Afton Youth T-Shirt</t>
        </is>
      </c>
      <c r="D3369" s="1">
        <v>101464</v>
      </c>
      <c r="E3369" s="0" t="inlineStr">
        <is>
          <t>AFTON:101464D-YXL</t>
        </is>
      </c>
      <c r="G3369" s="0" t="inlineStr">
        <is>
          <t>YOUTH</t>
        </is>
      </c>
      <c r="H3369" s="0" t="inlineStr">
        <is>
          <t>YXL</t>
        </is>
      </c>
      <c r="I3369" s="0">
        <v>25.99</v>
      </c>
      <c r="J3369" s="0">
        <v>71</v>
      </c>
    </row>
    <row r="3370" spans="1:10" customHeight="0">
      <c r="A3370" s="0">
        <f>HYPERLINK("https://dl.dropboxusercontent.com/scl/fi/fxztreftbzx36sg7wznd3/99676af.jpg?rlkey=swkfsg1nvqrlv5ac1ztd6sgqu&amp;dl=0","Click to download Image")</f>
      </c>
      <c r="C3370" s="0" t="inlineStr">
        <is>
          <t>Bailey Women's Shorts</t>
        </is>
      </c>
      <c r="D3370" s="1">
        <v>99676</v>
      </c>
      <c r="E3370" s="0" t="inlineStr">
        <is>
          <t>BAILEY:99676A-S</t>
        </is>
      </c>
      <c r="G3370" s="0" t="inlineStr">
        <is>
          <t>WOMENS</t>
        </is>
      </c>
      <c r="H3370" s="0" t="inlineStr">
        <is>
          <t>S</t>
        </is>
      </c>
      <c r="I3370" s="0">
        <v>39.99</v>
      </c>
      <c r="J3370" s="0">
        <v>40</v>
      </c>
    </row>
    <row r="3371" spans="1:10" customHeight="0">
      <c r="A3371" s="0">
        <f>HYPERLINK("https://dl.dropboxusercontent.com/scl/fi/fxztreftbzx36sg7wznd3/99676af.jpg?rlkey=swkfsg1nvqrlv5ac1ztd6sgqu&amp;dl=0","Click to download Image")</f>
      </c>
      <c r="C3371" s="0" t="inlineStr">
        <is>
          <t>Bailey Women's Shorts</t>
        </is>
      </c>
      <c r="D3371" s="1">
        <v>99676</v>
      </c>
      <c r="E3371" s="0" t="inlineStr">
        <is>
          <t>BAILEY:99676B-M</t>
        </is>
      </c>
      <c r="G3371" s="0" t="inlineStr">
        <is>
          <t>WOMENS</t>
        </is>
      </c>
      <c r="H3371" s="0" t="inlineStr">
        <is>
          <t>M</t>
        </is>
      </c>
      <c r="I3371" s="0">
        <v>39.99</v>
      </c>
      <c r="J3371" s="0">
        <v>58</v>
      </c>
    </row>
    <row r="3372" spans="1:10" customHeight="0">
      <c r="A3372" s="0">
        <f>HYPERLINK("https://dl.dropboxusercontent.com/scl/fi/fxztreftbzx36sg7wznd3/99676af.jpg?rlkey=swkfsg1nvqrlv5ac1ztd6sgqu&amp;dl=0","Click to download Image")</f>
      </c>
      <c r="C3372" s="0" t="inlineStr">
        <is>
          <t>Bailey Women's Shorts</t>
        </is>
      </c>
      <c r="D3372" s="1">
        <v>99676</v>
      </c>
      <c r="E3372" s="0" t="inlineStr">
        <is>
          <t>BAILEY:99676C-L</t>
        </is>
      </c>
      <c r="G3372" s="0" t="inlineStr">
        <is>
          <t>WOMENS</t>
        </is>
      </c>
      <c r="H3372" s="0" t="inlineStr">
        <is>
          <t>L</t>
        </is>
      </c>
      <c r="I3372" s="0">
        <v>39.99</v>
      </c>
      <c r="J3372" s="0">
        <v>112</v>
      </c>
    </row>
    <row r="3373" spans="1:10" customHeight="0">
      <c r="A3373" s="0">
        <f>HYPERLINK("https://dl.dropboxusercontent.com/scl/fi/fxztreftbzx36sg7wznd3/99676af.jpg?rlkey=swkfsg1nvqrlv5ac1ztd6sgqu&amp;dl=0","Click to download Image")</f>
      </c>
      <c r="C3373" s="0" t="inlineStr">
        <is>
          <t>Bailey Women's Shorts</t>
        </is>
      </c>
      <c r="D3373" s="1">
        <v>99676</v>
      </c>
      <c r="E3373" s="0" t="inlineStr">
        <is>
          <t>BAILEY:99676D-XL</t>
        </is>
      </c>
      <c r="G3373" s="0" t="inlineStr">
        <is>
          <t>WOMENS</t>
        </is>
      </c>
      <c r="H3373" s="0" t="inlineStr">
        <is>
          <t>XL</t>
        </is>
      </c>
      <c r="I3373" s="0">
        <v>39.99</v>
      </c>
      <c r="J3373" s="0">
        <v>142</v>
      </c>
    </row>
    <row r="3374" spans="1:10" customHeight="0">
      <c r="A3374" s="0">
        <f>HYPERLINK("https://dl.dropboxusercontent.com/scl/fi/fxztreftbzx36sg7wznd3/99676af.jpg?rlkey=swkfsg1nvqrlv5ac1ztd6sgqu&amp;dl=0","Click to download Image")</f>
      </c>
      <c r="C3374" s="0" t="inlineStr">
        <is>
          <t>Bailey Women's Shorts</t>
        </is>
      </c>
      <c r="D3374" s="1">
        <v>99676</v>
      </c>
      <c r="E3374" s="0" t="inlineStr">
        <is>
          <t>BAILEY:99676E-2XL</t>
        </is>
      </c>
      <c r="G3374" s="0" t="inlineStr">
        <is>
          <t>WOMENS</t>
        </is>
      </c>
      <c r="H3374" s="0" t="inlineStr">
        <is>
          <t>2XL</t>
        </is>
      </c>
      <c r="I3374" s="0">
        <v>41.99</v>
      </c>
      <c r="J3374" s="0">
        <v>47</v>
      </c>
    </row>
    <row r="3375" spans="1:10" customHeight="0">
      <c r="A3375" s="0">
        <f>HYPERLINK("https://dl.dropboxusercontent.com/scl/fi/zlzgw36qgnkn2sekidwxv/99677f.jpg?rlkey=mt6jz8ws1zbiyf3x6n7wag22r&amp;dl=0","Click to download Image")</f>
      </c>
      <c r="B3375" s="0">
        <f>HYPERLINK("https://dl.dropboxusercontent.com/scl/fi/s2br28jcod36tlsai3udw/size-chartladies-c.jpg?rlkey=56dxonzl3lthcy2z55xgssk1b&amp;dl=0","Click to download SizeChart")</f>
      </c>
      <c r="C3375" s="0" t="inlineStr">
        <is>
          <t>Josie Women's Tank</t>
        </is>
      </c>
      <c r="D3375" s="1">
        <v>99677</v>
      </c>
      <c r="E3375" s="0" t="inlineStr">
        <is>
          <t>JOSIE:99677A-S</t>
        </is>
      </c>
      <c r="G3375" s="0" t="inlineStr">
        <is>
          <t>WOMENS</t>
        </is>
      </c>
      <c r="H3375" s="0" t="inlineStr">
        <is>
          <t>S</t>
        </is>
      </c>
      <c r="I3375" s="0">
        <v>39.99</v>
      </c>
      <c r="J3375" s="0">
        <v>50</v>
      </c>
    </row>
    <row r="3376" spans="1:10" customHeight="0">
      <c r="A3376" s="0">
        <f>HYPERLINK("https://dl.dropboxusercontent.com/scl/fi/zlzgw36qgnkn2sekidwxv/99677f.jpg?rlkey=mt6jz8ws1zbiyf3x6n7wag22r&amp;dl=0","Click to download Image")</f>
      </c>
      <c r="B3376" s="0">
        <f>HYPERLINK("https://dl.dropboxusercontent.com/scl/fi/s2br28jcod36tlsai3udw/size-chartladies-c.jpg?rlkey=56dxonzl3lthcy2z55xgssk1b&amp;dl=0","Click to download SizeChart")</f>
      </c>
      <c r="C3376" s="0" t="inlineStr">
        <is>
          <t>Josie Women's Tank</t>
        </is>
      </c>
      <c r="D3376" s="1">
        <v>99677</v>
      </c>
      <c r="E3376" s="0" t="inlineStr">
        <is>
          <t>JOSIE:99677B-M</t>
        </is>
      </c>
      <c r="G3376" s="0" t="inlineStr">
        <is>
          <t>WOMENS</t>
        </is>
      </c>
      <c r="H3376" s="0" t="inlineStr">
        <is>
          <t>M</t>
        </is>
      </c>
      <c r="I3376" s="0">
        <v>39.99</v>
      </c>
      <c r="J3376" s="0">
        <v>68</v>
      </c>
    </row>
    <row r="3377" spans="1:10" customHeight="0">
      <c r="A3377" s="0">
        <f>HYPERLINK("https://dl.dropboxusercontent.com/scl/fi/zlzgw36qgnkn2sekidwxv/99677f.jpg?rlkey=mt6jz8ws1zbiyf3x6n7wag22r&amp;dl=0","Click to download Image")</f>
      </c>
      <c r="B3377" s="0">
        <f>HYPERLINK("https://dl.dropboxusercontent.com/scl/fi/s2br28jcod36tlsai3udw/size-chartladies-c.jpg?rlkey=56dxonzl3lthcy2z55xgssk1b&amp;dl=0","Click to download SizeChart")</f>
      </c>
      <c r="C3377" s="0" t="inlineStr">
        <is>
          <t>Josie Women's Tank</t>
        </is>
      </c>
      <c r="D3377" s="1">
        <v>99677</v>
      </c>
      <c r="E3377" s="0" t="inlineStr">
        <is>
          <t>JOSIE:99677C-L</t>
        </is>
      </c>
      <c r="G3377" s="0" t="inlineStr">
        <is>
          <t>WOMENS</t>
        </is>
      </c>
      <c r="H3377" s="0" t="inlineStr">
        <is>
          <t>L</t>
        </is>
      </c>
      <c r="I3377" s="0">
        <v>39.99</v>
      </c>
      <c r="J3377" s="0">
        <v>100</v>
      </c>
    </row>
    <row r="3378" spans="1:10" customHeight="0">
      <c r="A3378" s="0">
        <f>HYPERLINK("https://dl.dropboxusercontent.com/scl/fi/zlzgw36qgnkn2sekidwxv/99677f.jpg?rlkey=mt6jz8ws1zbiyf3x6n7wag22r&amp;dl=0","Click to download Image")</f>
      </c>
      <c r="B3378" s="0">
        <f>HYPERLINK("https://dl.dropboxusercontent.com/scl/fi/s2br28jcod36tlsai3udw/size-chartladies-c.jpg?rlkey=56dxonzl3lthcy2z55xgssk1b&amp;dl=0","Click to download SizeChart")</f>
      </c>
      <c r="C3378" s="0" t="inlineStr">
        <is>
          <t>Josie Women's Tank</t>
        </is>
      </c>
      <c r="D3378" s="1">
        <v>99677</v>
      </c>
      <c r="E3378" s="0" t="inlineStr">
        <is>
          <t>JOSIE:99677D-XL</t>
        </is>
      </c>
      <c r="G3378" s="0" t="inlineStr">
        <is>
          <t>WOMENS</t>
        </is>
      </c>
      <c r="H3378" s="0" t="inlineStr">
        <is>
          <t>XL</t>
        </is>
      </c>
      <c r="I3378" s="0">
        <v>39.99</v>
      </c>
      <c r="J3378" s="0">
        <v>105</v>
      </c>
    </row>
    <row r="3379" spans="1:10" customHeight="0">
      <c r="A3379" s="0">
        <f>HYPERLINK("https://dl.dropboxusercontent.com/scl/fi/zlzgw36qgnkn2sekidwxv/99677f.jpg?rlkey=mt6jz8ws1zbiyf3x6n7wag22r&amp;dl=0","Click to download Image")</f>
      </c>
      <c r="B3379" s="0">
        <f>HYPERLINK("https://dl.dropboxusercontent.com/scl/fi/s2br28jcod36tlsai3udw/size-chartladies-c.jpg?rlkey=56dxonzl3lthcy2z55xgssk1b&amp;dl=0","Click to download SizeChart")</f>
      </c>
      <c r="C3379" s="0" t="inlineStr">
        <is>
          <t>Josie Women's Tank</t>
        </is>
      </c>
      <c r="D3379" s="1">
        <v>99677</v>
      </c>
      <c r="E3379" s="0" t="inlineStr">
        <is>
          <t>JOSIE:99677E-2XL</t>
        </is>
      </c>
      <c r="G3379" s="0" t="inlineStr">
        <is>
          <t>WOMENS</t>
        </is>
      </c>
      <c r="H3379" s="0" t="inlineStr">
        <is>
          <t>2XL</t>
        </is>
      </c>
      <c r="I3379" s="0">
        <v>41.99</v>
      </c>
      <c r="J3379" s="0">
        <v>44</v>
      </c>
    </row>
    <row r="3380" spans="1:10" customHeight="0">
      <c r="A3380" s="0">
        <f>HYPERLINK("https://dl.dropboxusercontent.com/scl/fi/ftnb4ezwkqzrqys1qblte/98192-af.jpg?rlkey=s4f0n7s5dli779uie5trlropv&amp;dl=0","Click to download Image")</f>
      </c>
      <c r="B3380" s="0">
        <f>HYPERLINK("https://dl.dropboxusercontent.com/scl/fi/5f4awadno9b9xfpw3g09u/mens-jackets-size-chartsfinn.jpg?rlkey=gqxm8sbhkf7pfxw41k2apm90r&amp;dl=0","Click to download SizeChart")</f>
      </c>
      <c r="C3380" s="0" t="inlineStr">
        <is>
          <t>Finn Men's Jacket</t>
        </is>
      </c>
      <c r="D3380" s="1">
        <v>98192</v>
      </c>
      <c r="E3380" s="0" t="inlineStr">
        <is>
          <t>FINN:98192A-S</t>
        </is>
      </c>
      <c r="G3380" s="0" t="inlineStr">
        <is>
          <t>MENS</t>
        </is>
      </c>
      <c r="H3380" s="0" t="inlineStr">
        <is>
          <t>S</t>
        </is>
      </c>
      <c r="I3380" s="0">
        <v>79.99</v>
      </c>
      <c r="J3380" s="0">
        <v>36</v>
      </c>
    </row>
    <row r="3381" spans="1:10" customHeight="0">
      <c r="A3381" s="0">
        <f>HYPERLINK("https://dl.dropboxusercontent.com/scl/fi/ftnb4ezwkqzrqys1qblte/98192-af.jpg?rlkey=s4f0n7s5dli779uie5trlropv&amp;dl=0","Click to download Image")</f>
      </c>
      <c r="B3381" s="0">
        <f>HYPERLINK("https://dl.dropboxusercontent.com/scl/fi/5f4awadno9b9xfpw3g09u/mens-jackets-size-chartsfinn.jpg?rlkey=gqxm8sbhkf7pfxw41k2apm90r&amp;dl=0","Click to download SizeChart")</f>
      </c>
      <c r="C3381" s="0" t="inlineStr">
        <is>
          <t>Finn Men's Jacket</t>
        </is>
      </c>
      <c r="D3381" s="1">
        <v>98192</v>
      </c>
      <c r="E3381" s="0" t="inlineStr">
        <is>
          <t>FINN:98192B-M</t>
        </is>
      </c>
      <c r="G3381" s="0" t="inlineStr">
        <is>
          <t>MENS</t>
        </is>
      </c>
      <c r="H3381" s="0" t="inlineStr">
        <is>
          <t>M</t>
        </is>
      </c>
      <c r="I3381" s="0">
        <v>79.99</v>
      </c>
      <c r="J3381" s="0">
        <v>33</v>
      </c>
    </row>
    <row r="3382" spans="1:10" customHeight="0">
      <c r="A3382" s="0">
        <f>HYPERLINK("https://dl.dropboxusercontent.com/scl/fi/ftnb4ezwkqzrqys1qblte/98192-af.jpg?rlkey=s4f0n7s5dli779uie5trlropv&amp;dl=0","Click to download Image")</f>
      </c>
      <c r="B3382" s="0">
        <f>HYPERLINK("https://dl.dropboxusercontent.com/scl/fi/5f4awadno9b9xfpw3g09u/mens-jackets-size-chartsfinn.jpg?rlkey=gqxm8sbhkf7pfxw41k2apm90r&amp;dl=0","Click to download SizeChart")</f>
      </c>
      <c r="C3382" s="0" t="inlineStr">
        <is>
          <t>Finn Men's Jacket</t>
        </is>
      </c>
      <c r="D3382" s="1">
        <v>98192</v>
      </c>
      <c r="E3382" s="0" t="inlineStr">
        <is>
          <t>FINN:98192C-L</t>
        </is>
      </c>
      <c r="G3382" s="0" t="inlineStr">
        <is>
          <t>MENS</t>
        </is>
      </c>
      <c r="H3382" s="0" t="inlineStr">
        <is>
          <t>L</t>
        </is>
      </c>
      <c r="I3382" s="0">
        <v>79.99</v>
      </c>
      <c r="J3382" s="0">
        <v>13</v>
      </c>
    </row>
    <row r="3383" spans="1:10" customHeight="0">
      <c r="A3383" s="0">
        <f>HYPERLINK("https://dl.dropboxusercontent.com/scl/fi/ftnb4ezwkqzrqys1qblte/98192-af.jpg?rlkey=s4f0n7s5dli779uie5trlropv&amp;dl=0","Click to download Image")</f>
      </c>
      <c r="B3383" s="0">
        <f>HYPERLINK("https://dl.dropboxusercontent.com/scl/fi/5f4awadno9b9xfpw3g09u/mens-jackets-size-chartsfinn.jpg?rlkey=gqxm8sbhkf7pfxw41k2apm90r&amp;dl=0","Click to download SizeChart")</f>
      </c>
      <c r="C3383" s="0" t="inlineStr">
        <is>
          <t>Finn Men's Jacket</t>
        </is>
      </c>
      <c r="D3383" s="1">
        <v>98192</v>
      </c>
      <c r="E3383" s="0" t="inlineStr">
        <is>
          <t>FINN:98192D-XL</t>
        </is>
      </c>
      <c r="G3383" s="0" t="inlineStr">
        <is>
          <t>MENS</t>
        </is>
      </c>
      <c r="H3383" s="0" t="inlineStr">
        <is>
          <t>XL</t>
        </is>
      </c>
      <c r="I3383" s="0">
        <v>79.99</v>
      </c>
      <c r="J3383" s="0">
        <v>0</v>
      </c>
    </row>
    <row r="3384" spans="1:10" customHeight="0">
      <c r="A3384" s="0">
        <f>HYPERLINK("https://dl.dropboxusercontent.com/scl/fi/ftnb4ezwkqzrqys1qblte/98192-af.jpg?rlkey=s4f0n7s5dli779uie5trlropv&amp;dl=0","Click to download Image")</f>
      </c>
      <c r="B3384" s="0">
        <f>HYPERLINK("https://dl.dropboxusercontent.com/scl/fi/5f4awadno9b9xfpw3g09u/mens-jackets-size-chartsfinn.jpg?rlkey=gqxm8sbhkf7pfxw41k2apm90r&amp;dl=0","Click to download SizeChart")</f>
      </c>
      <c r="C3384" s="0" t="inlineStr">
        <is>
          <t>Finn Men's Jacket</t>
        </is>
      </c>
      <c r="D3384" s="1">
        <v>98192</v>
      </c>
      <c r="E3384" s="0" t="inlineStr">
        <is>
          <t>FINN:98192E-2XL</t>
        </is>
      </c>
      <c r="G3384" s="0" t="inlineStr">
        <is>
          <t>MENS</t>
        </is>
      </c>
      <c r="H3384" s="0" t="inlineStr">
        <is>
          <t>2XL</t>
        </is>
      </c>
      <c r="I3384" s="0">
        <v>81.99</v>
      </c>
      <c r="J3384" s="0">
        <v>0</v>
      </c>
    </row>
    <row r="3385" spans="1:10" customHeight="0">
      <c r="A3385" s="0">
        <f>HYPERLINK("https://dl.dropboxusercontent.com/scl/fi/ftnb4ezwkqzrqys1qblte/98192-af.jpg?rlkey=s4f0n7s5dli779uie5trlropv&amp;dl=0","Click to download Image")</f>
      </c>
      <c r="B3385" s="0">
        <f>HYPERLINK("https://dl.dropboxusercontent.com/scl/fi/5f4awadno9b9xfpw3g09u/mens-jackets-size-chartsfinn.jpg?rlkey=gqxm8sbhkf7pfxw41k2apm90r&amp;dl=0","Click to download SizeChart")</f>
      </c>
      <c r="C3385" s="0" t="inlineStr">
        <is>
          <t>Finn Men's Jacket</t>
        </is>
      </c>
      <c r="D3385" s="1">
        <v>98192</v>
      </c>
      <c r="E3385" s="0" t="inlineStr">
        <is>
          <t>FINN:98192F-3XL</t>
        </is>
      </c>
      <c r="G3385" s="0" t="inlineStr">
        <is>
          <t>MENS</t>
        </is>
      </c>
      <c r="H3385" s="0" t="inlineStr">
        <is>
          <t>3XL</t>
        </is>
      </c>
      <c r="I3385" s="0">
        <v>81.99</v>
      </c>
      <c r="J3385" s="0">
        <v>0</v>
      </c>
    </row>
    <row r="3386" spans="1:10" customHeight="0">
      <c r="A3386" s="0">
        <f>HYPERLINK("https://dl.dropboxusercontent.com/scl/fi/h0s98tt45egettt1i0z3d/98193af.jpg?rlkey=nwi6pc4n5tqg1b133e5trxemg&amp;dl=0","Click to download Image")</f>
      </c>
      <c r="B3386" s="0">
        <f>HYPERLINK("https://dl.dropboxusercontent.com/scl/fi/5f4awadno9b9xfpw3g09u/mens-jackets-size-chartsfinn.jpg?rlkey=gqxm8sbhkf7pfxw41k2apm90r&amp;dl=0","Click to download SizeChart")</f>
      </c>
      <c r="C3386" s="0" t="inlineStr">
        <is>
          <t>Finn Men's Jacket</t>
        </is>
      </c>
      <c r="D3386" s="1">
        <v>98193</v>
      </c>
      <c r="E3386" s="0" t="inlineStr">
        <is>
          <t>FINN:98193A-S</t>
        </is>
      </c>
      <c r="G3386" s="0" t="inlineStr">
        <is>
          <t>MENS</t>
        </is>
      </c>
      <c r="H3386" s="0" t="inlineStr">
        <is>
          <t>S</t>
        </is>
      </c>
      <c r="I3386" s="0">
        <v>79.99</v>
      </c>
      <c r="J3386" s="0">
        <v>60</v>
      </c>
    </row>
    <row r="3387" spans="1:10" customHeight="0">
      <c r="A3387" s="0">
        <f>HYPERLINK("https://dl.dropboxusercontent.com/scl/fi/h0s98tt45egettt1i0z3d/98193af.jpg?rlkey=nwi6pc4n5tqg1b133e5trxemg&amp;dl=0","Click to download Image")</f>
      </c>
      <c r="B3387" s="0">
        <f>HYPERLINK("https://dl.dropboxusercontent.com/scl/fi/5f4awadno9b9xfpw3g09u/mens-jackets-size-chartsfinn.jpg?rlkey=gqxm8sbhkf7pfxw41k2apm90r&amp;dl=0","Click to download SizeChart")</f>
      </c>
      <c r="C3387" s="0" t="inlineStr">
        <is>
          <t>Finn Men's Jacket</t>
        </is>
      </c>
      <c r="D3387" s="1">
        <v>98193</v>
      </c>
      <c r="E3387" s="0" t="inlineStr">
        <is>
          <t>FINN:98193B-M</t>
        </is>
      </c>
      <c r="G3387" s="0" t="inlineStr">
        <is>
          <t>MENS</t>
        </is>
      </c>
      <c r="H3387" s="0" t="inlineStr">
        <is>
          <t>M</t>
        </is>
      </c>
      <c r="I3387" s="0">
        <v>79.99</v>
      </c>
      <c r="J3387" s="0">
        <v>75</v>
      </c>
    </row>
    <row r="3388" spans="1:10" customHeight="0">
      <c r="A3388" s="0">
        <f>HYPERLINK("https://dl.dropboxusercontent.com/scl/fi/h0s98tt45egettt1i0z3d/98193af.jpg?rlkey=nwi6pc4n5tqg1b133e5trxemg&amp;dl=0","Click to download Image")</f>
      </c>
      <c r="B3388" s="0">
        <f>HYPERLINK("https://dl.dropboxusercontent.com/scl/fi/5f4awadno9b9xfpw3g09u/mens-jackets-size-chartsfinn.jpg?rlkey=gqxm8sbhkf7pfxw41k2apm90r&amp;dl=0","Click to download SizeChart")</f>
      </c>
      <c r="C3388" s="0" t="inlineStr">
        <is>
          <t>Finn Men's Jacket</t>
        </is>
      </c>
      <c r="D3388" s="1">
        <v>98193</v>
      </c>
      <c r="E3388" s="0" t="inlineStr">
        <is>
          <t>FINN:98193C-L</t>
        </is>
      </c>
      <c r="G3388" s="0" t="inlineStr">
        <is>
          <t>MENS</t>
        </is>
      </c>
      <c r="H3388" s="0" t="inlineStr">
        <is>
          <t>L</t>
        </is>
      </c>
      <c r="I3388" s="0">
        <v>79.99</v>
      </c>
      <c r="J3388" s="0">
        <v>71</v>
      </c>
    </row>
    <row r="3389" spans="1:10" customHeight="0">
      <c r="A3389" s="0">
        <f>HYPERLINK("https://dl.dropboxusercontent.com/scl/fi/h0s98tt45egettt1i0z3d/98193af.jpg?rlkey=nwi6pc4n5tqg1b133e5trxemg&amp;dl=0","Click to download Image")</f>
      </c>
      <c r="B3389" s="0">
        <f>HYPERLINK("https://dl.dropboxusercontent.com/scl/fi/5f4awadno9b9xfpw3g09u/mens-jackets-size-chartsfinn.jpg?rlkey=gqxm8sbhkf7pfxw41k2apm90r&amp;dl=0","Click to download SizeChart")</f>
      </c>
      <c r="C3389" s="0" t="inlineStr">
        <is>
          <t>Finn Men's Jacket</t>
        </is>
      </c>
      <c r="D3389" s="1">
        <v>98193</v>
      </c>
      <c r="E3389" s="0" t="inlineStr">
        <is>
          <t>FINN:98193D-XL</t>
        </is>
      </c>
      <c r="G3389" s="0" t="inlineStr">
        <is>
          <t>MENS</t>
        </is>
      </c>
      <c r="H3389" s="0" t="inlineStr">
        <is>
          <t>XL</t>
        </is>
      </c>
      <c r="I3389" s="0">
        <v>79.99</v>
      </c>
      <c r="J3389" s="0">
        <v>77</v>
      </c>
    </row>
    <row r="3390" spans="1:10" customHeight="0">
      <c r="A3390" s="0">
        <f>HYPERLINK("https://dl.dropboxusercontent.com/scl/fi/h0s98tt45egettt1i0z3d/98193af.jpg?rlkey=nwi6pc4n5tqg1b133e5trxemg&amp;dl=0","Click to download Image")</f>
      </c>
      <c r="B3390" s="0">
        <f>HYPERLINK("https://dl.dropboxusercontent.com/scl/fi/5f4awadno9b9xfpw3g09u/mens-jackets-size-chartsfinn.jpg?rlkey=gqxm8sbhkf7pfxw41k2apm90r&amp;dl=0","Click to download SizeChart")</f>
      </c>
      <c r="C3390" s="0" t="inlineStr">
        <is>
          <t>Finn Men's Jacket</t>
        </is>
      </c>
      <c r="D3390" s="1">
        <v>98193</v>
      </c>
      <c r="E3390" s="0" t="inlineStr">
        <is>
          <t>FINN:98193E-2XL</t>
        </is>
      </c>
      <c r="G3390" s="0" t="inlineStr">
        <is>
          <t>MENS</t>
        </is>
      </c>
      <c r="H3390" s="0" t="inlineStr">
        <is>
          <t>2XL</t>
        </is>
      </c>
      <c r="I3390" s="0">
        <v>81.99</v>
      </c>
      <c r="J3390" s="0">
        <v>62</v>
      </c>
    </row>
    <row r="3391" spans="1:10" customHeight="0">
      <c r="A3391" s="0">
        <f>HYPERLINK("https://dl.dropboxusercontent.com/scl/fi/h0s98tt45egettt1i0z3d/98193af.jpg?rlkey=nwi6pc4n5tqg1b133e5trxemg&amp;dl=0","Click to download Image")</f>
      </c>
      <c r="B3391" s="0">
        <f>HYPERLINK("https://dl.dropboxusercontent.com/scl/fi/5f4awadno9b9xfpw3g09u/mens-jackets-size-chartsfinn.jpg?rlkey=gqxm8sbhkf7pfxw41k2apm90r&amp;dl=0","Click to download SizeChart")</f>
      </c>
      <c r="C3391" s="0" t="inlineStr">
        <is>
          <t>Finn Men's Jacket</t>
        </is>
      </c>
      <c r="D3391" s="1">
        <v>98193</v>
      </c>
      <c r="E3391" s="0" t="inlineStr">
        <is>
          <t>FINN:98193F-3XL</t>
        </is>
      </c>
      <c r="G3391" s="0" t="inlineStr">
        <is>
          <t>MENS</t>
        </is>
      </c>
      <c r="H3391" s="0" t="inlineStr">
        <is>
          <t>3XL</t>
        </is>
      </c>
      <c r="I3391" s="0">
        <v>81.99</v>
      </c>
      <c r="J3391" s="0">
        <v>22</v>
      </c>
    </row>
    <row r="3392" spans="1:10" customHeight="0">
      <c r="A3392" s="0">
        <f>HYPERLINK("https://dl.dropboxusercontent.com/scl/fi/ac411fix4n911zx15jcmv/98566-af.jpg?rlkey=2ipn1mfkpndkfxxkov72bdsm9&amp;dl=0","Click to download Image")</f>
      </c>
      <c r="B3392" s="0">
        <f>HYPERLINK("https://dl.dropboxusercontent.com/scl/fi/rg7g4zxgyn02hzagfly4m/graphic-update2022-mens.jpg?rlkey=qlmkvz9ba72ffky9jy5xzpvpq&amp;dl=0","Click to download SizeChart")</f>
      </c>
      <c r="C3392" s="0" t="inlineStr">
        <is>
          <t>Deklan Men's Sweatpants</t>
        </is>
      </c>
      <c r="D3392" s="1">
        <v>98566</v>
      </c>
      <c r="E3392" s="0" t="inlineStr">
        <is>
          <t>DEKLAN:98566A-S</t>
        </is>
      </c>
      <c r="G3392" s="0" t="inlineStr">
        <is>
          <t>MENS</t>
        </is>
      </c>
      <c r="H3392" s="0" t="inlineStr">
        <is>
          <t>S</t>
        </is>
      </c>
      <c r="I3392" s="0">
        <v>39.99</v>
      </c>
      <c r="J3392" s="0">
        <v>8</v>
      </c>
    </row>
    <row r="3393" spans="1:10" customHeight="0">
      <c r="A3393" s="0">
        <f>HYPERLINK("https://dl.dropboxusercontent.com/scl/fi/ac411fix4n911zx15jcmv/98566-af.jpg?rlkey=2ipn1mfkpndkfxxkov72bdsm9&amp;dl=0","Click to download Image")</f>
      </c>
      <c r="B3393" s="0">
        <f>HYPERLINK("https://dl.dropboxusercontent.com/scl/fi/rg7g4zxgyn02hzagfly4m/graphic-update2022-mens.jpg?rlkey=qlmkvz9ba72ffky9jy5xzpvpq&amp;dl=0","Click to download SizeChart")</f>
      </c>
      <c r="C3393" s="0" t="inlineStr">
        <is>
          <t>Deklan Men's Sweatpants</t>
        </is>
      </c>
      <c r="D3393" s="1">
        <v>98566</v>
      </c>
      <c r="E3393" s="0" t="inlineStr">
        <is>
          <t>DEKLAN:98566B-M</t>
        </is>
      </c>
      <c r="G3393" s="0" t="inlineStr">
        <is>
          <t>MENS</t>
        </is>
      </c>
      <c r="H3393" s="0" t="inlineStr">
        <is>
          <t>M</t>
        </is>
      </c>
      <c r="I3393" s="0">
        <v>39.99</v>
      </c>
      <c r="J3393" s="0">
        <v>4</v>
      </c>
    </row>
    <row r="3394" spans="1:10" customHeight="0">
      <c r="A3394" s="0">
        <f>HYPERLINK("https://dl.dropboxusercontent.com/scl/fi/ac411fix4n911zx15jcmv/98566-af.jpg?rlkey=2ipn1mfkpndkfxxkov72bdsm9&amp;dl=0","Click to download Image")</f>
      </c>
      <c r="B3394" s="0">
        <f>HYPERLINK("https://dl.dropboxusercontent.com/scl/fi/rg7g4zxgyn02hzagfly4m/graphic-update2022-mens.jpg?rlkey=qlmkvz9ba72ffky9jy5xzpvpq&amp;dl=0","Click to download SizeChart")</f>
      </c>
      <c r="C3394" s="0" t="inlineStr">
        <is>
          <t>Deklan Men's Sweatpants</t>
        </is>
      </c>
      <c r="D3394" s="1">
        <v>98566</v>
      </c>
      <c r="E3394" s="0" t="inlineStr">
        <is>
          <t>DEKLAN:98566C-L</t>
        </is>
      </c>
      <c r="G3394" s="0" t="inlineStr">
        <is>
          <t>MENS</t>
        </is>
      </c>
      <c r="H3394" s="0" t="inlineStr">
        <is>
          <t>L</t>
        </is>
      </c>
      <c r="I3394" s="0">
        <v>39.99</v>
      </c>
      <c r="J3394" s="0">
        <v>4</v>
      </c>
    </row>
    <row r="3395" spans="1:10" customHeight="0">
      <c r="A3395" s="0">
        <f>HYPERLINK("https://dl.dropboxusercontent.com/scl/fi/ac411fix4n911zx15jcmv/98566-af.jpg?rlkey=2ipn1mfkpndkfxxkov72bdsm9&amp;dl=0","Click to download Image")</f>
      </c>
      <c r="B3395" s="0">
        <f>HYPERLINK("https://dl.dropboxusercontent.com/scl/fi/rg7g4zxgyn02hzagfly4m/graphic-update2022-mens.jpg?rlkey=qlmkvz9ba72ffky9jy5xzpvpq&amp;dl=0","Click to download SizeChart")</f>
      </c>
      <c r="C3395" s="0" t="inlineStr">
        <is>
          <t>Deklan Men's Sweatpants</t>
        </is>
      </c>
      <c r="D3395" s="1">
        <v>98566</v>
      </c>
      <c r="E3395" s="0" t="inlineStr">
        <is>
          <t>DEKLAN:98566D-XL</t>
        </is>
      </c>
      <c r="G3395" s="0" t="inlineStr">
        <is>
          <t>MENS</t>
        </is>
      </c>
      <c r="H3395" s="0" t="inlineStr">
        <is>
          <t>XL</t>
        </is>
      </c>
      <c r="I3395" s="0">
        <v>39.99</v>
      </c>
      <c r="J3395" s="0">
        <v>0</v>
      </c>
    </row>
    <row r="3396" spans="1:10" customHeight="0">
      <c r="A3396" s="0">
        <f>HYPERLINK("https://dl.dropboxusercontent.com/scl/fi/ac411fix4n911zx15jcmv/98566-af.jpg?rlkey=2ipn1mfkpndkfxxkov72bdsm9&amp;dl=0","Click to download Image")</f>
      </c>
      <c r="B3396" s="0">
        <f>HYPERLINK("https://dl.dropboxusercontent.com/scl/fi/rg7g4zxgyn02hzagfly4m/graphic-update2022-mens.jpg?rlkey=qlmkvz9ba72ffky9jy5xzpvpq&amp;dl=0","Click to download SizeChart")</f>
      </c>
      <c r="C3396" s="0" t="inlineStr">
        <is>
          <t>Deklan Men's Sweatpants</t>
        </is>
      </c>
      <c r="D3396" s="1">
        <v>98566</v>
      </c>
      <c r="E3396" s="0" t="inlineStr">
        <is>
          <t>DEKLAN:98566E-2XL</t>
        </is>
      </c>
      <c r="G3396" s="0" t="inlineStr">
        <is>
          <t>MENS</t>
        </is>
      </c>
      <c r="H3396" s="0" t="inlineStr">
        <is>
          <t>2XL</t>
        </is>
      </c>
      <c r="I3396" s="0">
        <v>41.99</v>
      </c>
      <c r="J3396" s="0">
        <v>12</v>
      </c>
    </row>
    <row r="3397" spans="1:10" customHeight="0">
      <c r="A3397" s="0">
        <f>HYPERLINK("https://dl.dropboxusercontent.com/scl/fi/ac411fix4n911zx15jcmv/98566-af.jpg?rlkey=2ipn1mfkpndkfxxkov72bdsm9&amp;dl=0","Click to download Image")</f>
      </c>
      <c r="B3397" s="0">
        <f>HYPERLINK("https://dl.dropboxusercontent.com/scl/fi/rg7g4zxgyn02hzagfly4m/graphic-update2022-mens.jpg?rlkey=qlmkvz9ba72ffky9jy5xzpvpq&amp;dl=0","Click to download SizeChart")</f>
      </c>
      <c r="C3397" s="0" t="inlineStr">
        <is>
          <t>Deklan Men's Sweatpants</t>
        </is>
      </c>
      <c r="D3397" s="1">
        <v>98566</v>
      </c>
      <c r="E3397" s="0" t="inlineStr">
        <is>
          <t>DEKLAN:98566F-3XL</t>
        </is>
      </c>
      <c r="G3397" s="0" t="inlineStr">
        <is>
          <t>MENS</t>
        </is>
      </c>
      <c r="H3397" s="0" t="inlineStr">
        <is>
          <t>3XL</t>
        </is>
      </c>
      <c r="I3397" s="0">
        <v>41.99</v>
      </c>
      <c r="J3397" s="0">
        <v>2</v>
      </c>
    </row>
    <row r="3398" spans="1:10" customHeight="0">
      <c r="A3398" s="0">
        <f>HYPERLINK("https://dl.dropboxusercontent.com/scl/fi/xp4z6sfz9zj6pw1azaucv/96427af.jpg?rlkey=1zyyw31swa91v1uxfaxqaryxq&amp;dl=0","Click to download Image")</f>
      </c>
      <c r="C3398" s="0" t="inlineStr">
        <is>
          <t>Aaron Men's Board Shorts</t>
        </is>
      </c>
      <c r="D3398" s="1">
        <v>96427</v>
      </c>
      <c r="E3398" s="0" t="inlineStr">
        <is>
          <t>AARON:96427-30</t>
        </is>
      </c>
      <c r="G3398" s="0" t="inlineStr">
        <is>
          <t>MENS</t>
        </is>
      </c>
      <c r="H3398" s="0" t="inlineStr">
        <is>
          <t>30</t>
        </is>
      </c>
      <c r="I3398" s="0">
        <v>44.99</v>
      </c>
      <c r="J3398" s="0">
        <v>18</v>
      </c>
    </row>
    <row r="3399" spans="1:10" customHeight="0">
      <c r="A3399" s="0">
        <f>HYPERLINK("https://dl.dropboxusercontent.com/scl/fi/xp4z6sfz9zj6pw1azaucv/96427af.jpg?rlkey=1zyyw31swa91v1uxfaxqaryxq&amp;dl=0","Click to download Image")</f>
      </c>
      <c r="C3399" s="0" t="inlineStr">
        <is>
          <t>Aaron Men's Board Shorts</t>
        </is>
      </c>
      <c r="D3399" s="1">
        <v>96427</v>
      </c>
      <c r="E3399" s="0" t="inlineStr">
        <is>
          <t>AARON:96427-32</t>
        </is>
      </c>
      <c r="G3399" s="0" t="inlineStr">
        <is>
          <t>MENS</t>
        </is>
      </c>
      <c r="H3399" s="0" t="inlineStr">
        <is>
          <t>32</t>
        </is>
      </c>
      <c r="I3399" s="0">
        <v>44.99</v>
      </c>
      <c r="J3399" s="0">
        <v>27</v>
      </c>
    </row>
    <row r="3400" spans="1:10" customHeight="0">
      <c r="A3400" s="0">
        <f>HYPERLINK("https://dl.dropboxusercontent.com/scl/fi/xp4z6sfz9zj6pw1azaucv/96427af.jpg?rlkey=1zyyw31swa91v1uxfaxqaryxq&amp;dl=0","Click to download Image")</f>
      </c>
      <c r="C3400" s="0" t="inlineStr">
        <is>
          <t>Aaron Men's Board Shorts</t>
        </is>
      </c>
      <c r="D3400" s="1">
        <v>96427</v>
      </c>
      <c r="E3400" s="0" t="inlineStr">
        <is>
          <t>AARON:96427-34</t>
        </is>
      </c>
      <c r="G3400" s="0" t="inlineStr">
        <is>
          <t>MENS</t>
        </is>
      </c>
      <c r="H3400" s="0" t="inlineStr">
        <is>
          <t>34</t>
        </is>
      </c>
      <c r="I3400" s="0">
        <v>44.99</v>
      </c>
      <c r="J3400" s="0">
        <v>39</v>
      </c>
    </row>
    <row r="3401" spans="1:10" customHeight="0">
      <c r="A3401" s="0">
        <f>HYPERLINK("https://dl.dropboxusercontent.com/scl/fi/xp4z6sfz9zj6pw1azaucv/96427af.jpg?rlkey=1zyyw31swa91v1uxfaxqaryxq&amp;dl=0","Click to download Image")</f>
      </c>
      <c r="C3401" s="0" t="inlineStr">
        <is>
          <t>Aaron Men's Board Shorts</t>
        </is>
      </c>
      <c r="D3401" s="1">
        <v>96427</v>
      </c>
      <c r="E3401" s="0" t="inlineStr">
        <is>
          <t>AARON:96427-36</t>
        </is>
      </c>
      <c r="G3401" s="0" t="inlineStr">
        <is>
          <t>MENS</t>
        </is>
      </c>
      <c r="H3401" s="0" t="inlineStr">
        <is>
          <t>36</t>
        </is>
      </c>
      <c r="I3401" s="0">
        <v>44.99</v>
      </c>
      <c r="J3401" s="0">
        <v>35</v>
      </c>
    </row>
    <row r="3402" spans="1:10" customHeight="0">
      <c r="A3402" s="0">
        <f>HYPERLINK("https://dl.dropboxusercontent.com/scl/fi/xp4z6sfz9zj6pw1azaucv/96427af.jpg?rlkey=1zyyw31swa91v1uxfaxqaryxq&amp;dl=0","Click to download Image")</f>
      </c>
      <c r="C3402" s="0" t="inlineStr">
        <is>
          <t>Aaron Men's Board Shorts</t>
        </is>
      </c>
      <c r="D3402" s="1">
        <v>96427</v>
      </c>
      <c r="E3402" s="0" t="inlineStr">
        <is>
          <t>AARON:96427-38</t>
        </is>
      </c>
      <c r="G3402" s="0" t="inlineStr">
        <is>
          <t>MENS</t>
        </is>
      </c>
      <c r="H3402" s="0" t="inlineStr">
        <is>
          <t>38</t>
        </is>
      </c>
      <c r="I3402" s="0">
        <v>44.99</v>
      </c>
      <c r="J3402" s="0">
        <v>56</v>
      </c>
    </row>
    <row r="3403" spans="1:10" customHeight="0">
      <c r="A3403" s="0">
        <f>HYPERLINK("https://dl.dropboxusercontent.com/scl/fi/xp4z6sfz9zj6pw1azaucv/96427af.jpg?rlkey=1zyyw31swa91v1uxfaxqaryxq&amp;dl=0","Click to download Image")</f>
      </c>
      <c r="C3403" s="0" t="inlineStr">
        <is>
          <t>Aaron Men's Board Shorts</t>
        </is>
      </c>
      <c r="D3403" s="1">
        <v>96427</v>
      </c>
      <c r="E3403" s="0" t="inlineStr">
        <is>
          <t>AARON:96427-40</t>
        </is>
      </c>
      <c r="G3403" s="0" t="inlineStr">
        <is>
          <t>MENS</t>
        </is>
      </c>
      <c r="H3403" s="0" t="inlineStr">
        <is>
          <t>40</t>
        </is>
      </c>
      <c r="I3403" s="0">
        <v>44.99</v>
      </c>
      <c r="J3403" s="0">
        <v>35</v>
      </c>
    </row>
    <row r="3404" spans="1:10" customHeight="0">
      <c r="A3404" s="0">
        <f>HYPERLINK("https://dl.dropboxusercontent.com/scl/fi/xp4z6sfz9zj6pw1azaucv/96427af.jpg?rlkey=1zyyw31swa91v1uxfaxqaryxq&amp;dl=0","Click to download Image")</f>
      </c>
      <c r="C3404" s="0" t="inlineStr">
        <is>
          <t>Aaron Men's Board Shorts</t>
        </is>
      </c>
      <c r="D3404" s="1">
        <v>96427</v>
      </c>
      <c r="E3404" s="0" t="inlineStr">
        <is>
          <t>AARON:96427-42</t>
        </is>
      </c>
      <c r="G3404" s="0" t="inlineStr">
        <is>
          <t>MENS</t>
        </is>
      </c>
      <c r="H3404" s="0" t="inlineStr">
        <is>
          <t>42</t>
        </is>
      </c>
      <c r="I3404" s="0">
        <v>44.99</v>
      </c>
      <c r="J3404" s="0">
        <v>19</v>
      </c>
    </row>
    <row r="3405" spans="1:10" customHeight="0">
      <c r="A3405" s="0">
        <f>HYPERLINK("https://dl.dropboxusercontent.com/scl/fi/wz3z5ua1afv8wrbb5ccjo/95963af.jpg?rlkey=0xtcqyrfmrkpdrhmhfmnxwg42&amp;dl=0","Click to download Image")</f>
      </c>
      <c r="C3405" s="0" t="inlineStr">
        <is>
          <t>Huey Baby Carrier</t>
        </is>
      </c>
      <c r="D3405" s="1">
        <v>95963</v>
      </c>
      <c r="E3405" s="0" t="inlineStr">
        <is>
          <t>HUEY:95963</t>
        </is>
      </c>
      <c r="I3405" s="0">
        <v>59.99</v>
      </c>
      <c r="J3405" s="0">
        <v>477</v>
      </c>
    </row>
    <row r="3406" spans="1:10" customHeight="0">
      <c r="A3406" s="0">
        <f>HYPERLINK("https://dl.dropboxusercontent.com/scl/fi/q0ycjnt9qzi9qfsijy0xg/lucy.jpg?rlkey=q1hs3f0dht2kb46p8a27xljra&amp;dl=0","Click to download Image")</f>
      </c>
      <c r="B3406" s="0">
        <f>HYPERLINK("https://dl.dropboxusercontent.com/scl/fi/xbiwzx69png0afihpi4gz/ladies-b.jpg?rlkey=7ssiqkafxk1qiti6wtwerovro&amp;dl=0","Click to download SizeChart")</f>
      </c>
      <c r="C3406" s="0" t="inlineStr">
        <is>
          <t>Lucy Women's Jacket</t>
        </is>
      </c>
      <c r="D3406" s="1">
        <v>98119</v>
      </c>
      <c r="E3406" s="0" t="inlineStr">
        <is>
          <t>LUCY:98119A-S</t>
        </is>
      </c>
      <c r="G3406" s="0" t="inlineStr">
        <is>
          <t>WOMENS</t>
        </is>
      </c>
      <c r="H3406" s="0" t="inlineStr">
        <is>
          <t>S</t>
        </is>
      </c>
      <c r="I3406" s="0">
        <v>69.99</v>
      </c>
      <c r="J3406" s="0">
        <v>25</v>
      </c>
    </row>
    <row r="3407" spans="1:10" customHeight="0">
      <c r="A3407" s="0">
        <f>HYPERLINK("https://dl.dropboxusercontent.com/scl/fi/q0ycjnt9qzi9qfsijy0xg/lucy.jpg?rlkey=q1hs3f0dht2kb46p8a27xljra&amp;dl=0","Click to download Image")</f>
      </c>
      <c r="B3407" s="0">
        <f>HYPERLINK("https://dl.dropboxusercontent.com/scl/fi/xbiwzx69png0afihpi4gz/ladies-b.jpg?rlkey=7ssiqkafxk1qiti6wtwerovro&amp;dl=0","Click to download SizeChart")</f>
      </c>
      <c r="C3407" s="0" t="inlineStr">
        <is>
          <t>Lucy Women's Jacket</t>
        </is>
      </c>
      <c r="D3407" s="1">
        <v>98119</v>
      </c>
      <c r="E3407" s="0" t="inlineStr">
        <is>
          <t>LUCY:98119B-M</t>
        </is>
      </c>
      <c r="G3407" s="0" t="inlineStr">
        <is>
          <t>WOMENS</t>
        </is>
      </c>
      <c r="H3407" s="0" t="inlineStr">
        <is>
          <t>M</t>
        </is>
      </c>
      <c r="I3407" s="0">
        <v>69.99</v>
      </c>
      <c r="J3407" s="0">
        <v>9</v>
      </c>
    </row>
    <row r="3408" spans="1:10" customHeight="0">
      <c r="A3408" s="0">
        <f>HYPERLINK("https://dl.dropboxusercontent.com/scl/fi/q0ycjnt9qzi9qfsijy0xg/lucy.jpg?rlkey=q1hs3f0dht2kb46p8a27xljra&amp;dl=0","Click to download Image")</f>
      </c>
      <c r="B3408" s="0">
        <f>HYPERLINK("https://dl.dropboxusercontent.com/scl/fi/xbiwzx69png0afihpi4gz/ladies-b.jpg?rlkey=7ssiqkafxk1qiti6wtwerovro&amp;dl=0","Click to download SizeChart")</f>
      </c>
      <c r="C3408" s="0" t="inlineStr">
        <is>
          <t>Lucy Women's Jacket</t>
        </is>
      </c>
      <c r="D3408" s="1">
        <v>98119</v>
      </c>
      <c r="E3408" s="0" t="inlineStr">
        <is>
          <t>LUCY:98119D-XL</t>
        </is>
      </c>
      <c r="G3408" s="0" t="inlineStr">
        <is>
          <t>WOMENS</t>
        </is>
      </c>
      <c r="H3408" s="0" t="inlineStr">
        <is>
          <t>XL</t>
        </is>
      </c>
      <c r="I3408" s="0">
        <v>69.99</v>
      </c>
      <c r="J3408" s="0">
        <v>0</v>
      </c>
    </row>
    <row r="3409" spans="1:10" customHeight="0">
      <c r="A3409" s="0">
        <f>HYPERLINK("https://dl.dropboxusercontent.com/scl/fi/q0ycjnt9qzi9qfsijy0xg/lucy.jpg?rlkey=q1hs3f0dht2kb46p8a27xljra&amp;dl=0","Click to download Image")</f>
      </c>
      <c r="B3409" s="0">
        <f>HYPERLINK("https://dl.dropboxusercontent.com/scl/fi/xbiwzx69png0afihpi4gz/ladies-b.jpg?rlkey=7ssiqkafxk1qiti6wtwerovro&amp;dl=0","Click to download SizeChart")</f>
      </c>
      <c r="C3409" s="0" t="inlineStr">
        <is>
          <t>Lucy Women's Jacket</t>
        </is>
      </c>
      <c r="D3409" s="1">
        <v>98119</v>
      </c>
      <c r="E3409" s="0" t="inlineStr">
        <is>
          <t>LUCY:98119E-2XL</t>
        </is>
      </c>
      <c r="G3409" s="0" t="inlineStr">
        <is>
          <t>WOMENS</t>
        </is>
      </c>
      <c r="H3409" s="0" t="inlineStr">
        <is>
          <t>2XL</t>
        </is>
      </c>
      <c r="I3409" s="0">
        <v>71.99</v>
      </c>
      <c r="J3409" s="0">
        <v>16</v>
      </c>
    </row>
    <row r="3410" spans="1:10" customHeight="0">
      <c r="A3410" s="0">
        <f>HYPERLINK("https://dl.dropboxusercontent.com/scl/fi/vypwdt3jrmrgkpdaz8ndn/ia-libby-f.jpg?rlkey=j061u1y8nb9mca9lxvqpwscfj&amp;dl=0","Click to download Image")</f>
      </c>
      <c r="B3410" s="0">
        <f>HYPERLINK("https://dl.dropboxusercontent.com/scl/fi/05vu224blct9wueh1efd6/size-chartladies-j.jpg?rlkey=43d6w40k0jnst35wjj5aalw5o&amp;dl=0","Click to download SizeChart")</f>
      </c>
      <c r="C3410" s="0" t="inlineStr">
        <is>
          <t>Libby Women's French Terry Joggers</t>
        </is>
      </c>
      <c r="D3410" s="1">
        <v>95480</v>
      </c>
      <c r="E3410" s="0" t="inlineStr">
        <is>
          <t>LIBBY:95480A-S</t>
        </is>
      </c>
      <c r="G3410" s="0" t="inlineStr">
        <is>
          <t>WOMENS</t>
        </is>
      </c>
      <c r="H3410" s="0" t="inlineStr">
        <is>
          <t>S</t>
        </is>
      </c>
      <c r="I3410" s="0">
        <v>49.99</v>
      </c>
      <c r="J3410" s="0">
        <v>48</v>
      </c>
    </row>
    <row r="3411" spans="1:10" customHeight="0">
      <c r="A3411" s="0">
        <f>HYPERLINK("https://dl.dropboxusercontent.com/scl/fi/vypwdt3jrmrgkpdaz8ndn/ia-libby-f.jpg?rlkey=j061u1y8nb9mca9lxvqpwscfj&amp;dl=0","Click to download Image")</f>
      </c>
      <c r="B3411" s="0">
        <f>HYPERLINK("https://dl.dropboxusercontent.com/scl/fi/05vu224blct9wueh1efd6/size-chartladies-j.jpg?rlkey=43d6w40k0jnst35wjj5aalw5o&amp;dl=0","Click to download SizeChart")</f>
      </c>
      <c r="C3411" s="0" t="inlineStr">
        <is>
          <t>Libby Women's French Terry Joggers</t>
        </is>
      </c>
      <c r="D3411" s="1">
        <v>95480</v>
      </c>
      <c r="E3411" s="0" t="inlineStr">
        <is>
          <t>LIBBY:95480B-M</t>
        </is>
      </c>
      <c r="G3411" s="0" t="inlineStr">
        <is>
          <t>WOMENS</t>
        </is>
      </c>
      <c r="H3411" s="0" t="inlineStr">
        <is>
          <t>M</t>
        </is>
      </c>
      <c r="I3411" s="0">
        <v>49.99</v>
      </c>
      <c r="J3411" s="0">
        <v>64</v>
      </c>
    </row>
    <row r="3412" spans="1:10" customHeight="0">
      <c r="A3412" s="0">
        <f>HYPERLINK("https://dl.dropboxusercontent.com/scl/fi/vypwdt3jrmrgkpdaz8ndn/ia-libby-f.jpg?rlkey=j061u1y8nb9mca9lxvqpwscfj&amp;dl=0","Click to download Image")</f>
      </c>
      <c r="B3412" s="0">
        <f>HYPERLINK("https://dl.dropboxusercontent.com/scl/fi/05vu224blct9wueh1efd6/size-chartladies-j.jpg?rlkey=43d6w40k0jnst35wjj5aalw5o&amp;dl=0","Click to download SizeChart")</f>
      </c>
      <c r="C3412" s="0" t="inlineStr">
        <is>
          <t>Libby Women's French Terry Joggers</t>
        </is>
      </c>
      <c r="D3412" s="1">
        <v>95480</v>
      </c>
      <c r="E3412" s="0" t="inlineStr">
        <is>
          <t>LIBBY:95480C-L</t>
        </is>
      </c>
      <c r="G3412" s="0" t="inlineStr">
        <is>
          <t>WOMENS</t>
        </is>
      </c>
      <c r="H3412" s="0" t="inlineStr">
        <is>
          <t>L</t>
        </is>
      </c>
      <c r="I3412" s="0">
        <v>49.99</v>
      </c>
      <c r="J3412" s="0">
        <v>129</v>
      </c>
    </row>
    <row r="3413" spans="1:10" customHeight="0">
      <c r="A3413" s="0">
        <f>HYPERLINK("https://dl.dropboxusercontent.com/scl/fi/vypwdt3jrmrgkpdaz8ndn/ia-libby-f.jpg?rlkey=j061u1y8nb9mca9lxvqpwscfj&amp;dl=0","Click to download Image")</f>
      </c>
      <c r="B3413" s="0">
        <f>HYPERLINK("https://dl.dropboxusercontent.com/scl/fi/05vu224blct9wueh1efd6/size-chartladies-j.jpg?rlkey=43d6w40k0jnst35wjj5aalw5o&amp;dl=0","Click to download SizeChart")</f>
      </c>
      <c r="C3413" s="0" t="inlineStr">
        <is>
          <t>Libby Women's French Terry Joggers</t>
        </is>
      </c>
      <c r="D3413" s="1">
        <v>95480</v>
      </c>
      <c r="E3413" s="0" t="inlineStr">
        <is>
          <t>LIBBY:95480D-XL</t>
        </is>
      </c>
      <c r="G3413" s="0" t="inlineStr">
        <is>
          <t>WOMENS</t>
        </is>
      </c>
      <c r="H3413" s="0" t="inlineStr">
        <is>
          <t>XL</t>
        </is>
      </c>
      <c r="I3413" s="0">
        <v>49.99</v>
      </c>
      <c r="J3413" s="0">
        <v>133</v>
      </c>
    </row>
    <row r="3414" spans="1:10" customHeight="0">
      <c r="A3414" s="0">
        <f>HYPERLINK("https://dl.dropboxusercontent.com/scl/fi/vypwdt3jrmrgkpdaz8ndn/ia-libby-f.jpg?rlkey=j061u1y8nb9mca9lxvqpwscfj&amp;dl=0","Click to download Image")</f>
      </c>
      <c r="B3414" s="0">
        <f>HYPERLINK("https://dl.dropboxusercontent.com/scl/fi/05vu224blct9wueh1efd6/size-chartladies-j.jpg?rlkey=43d6w40k0jnst35wjj5aalw5o&amp;dl=0","Click to download SizeChart")</f>
      </c>
      <c r="C3414" s="0" t="inlineStr">
        <is>
          <t>Libby Women's French Terry Joggers</t>
        </is>
      </c>
      <c r="D3414" s="1">
        <v>95480</v>
      </c>
      <c r="E3414" s="0" t="inlineStr">
        <is>
          <t>LIBBY:95480E-2X</t>
        </is>
      </c>
      <c r="G3414" s="0" t="inlineStr">
        <is>
          <t>WOMENS</t>
        </is>
      </c>
      <c r="H3414" s="0" t="inlineStr">
        <is>
          <t>2XL</t>
        </is>
      </c>
      <c r="I3414" s="0">
        <v>51.99</v>
      </c>
      <c r="J3414" s="0">
        <v>46</v>
      </c>
    </row>
    <row r="3415" spans="1:10" customHeight="0">
      <c r="A3415" s="0">
        <f>HYPERLINK("https://dl.dropboxusercontent.com/scl/fi/yfqtt006g5udkner7u6co/lennon.jpg?rlkey=n5tk6wx64ur5m6tuup5nw8b2c&amp;dl=0","Click to download Image")</f>
      </c>
      <c r="B3415" s="0">
        <f>HYPERLINK("https://dl.dropboxusercontent.com/scl/fi/n125smqshgp5hb8o6p1sq/size-chartladies-h.jpg?rlkey=4uwrnyrqe6u6en31kgtehvc6d&amp;dl=0","Click to download SizeChart")</f>
      </c>
      <c r="C3415" s="0" t="inlineStr">
        <is>
          <t>Lennon Women's Cold Shoulder Long Sleeve Shirt</t>
        </is>
      </c>
      <c r="D3415" s="1">
        <v>98426</v>
      </c>
      <c r="E3415" s="0" t="inlineStr">
        <is>
          <t>LENNON:98426A-S</t>
        </is>
      </c>
      <c r="G3415" s="0" t="inlineStr">
        <is>
          <t>WOMENS</t>
        </is>
      </c>
      <c r="H3415" s="0" t="inlineStr">
        <is>
          <t>S</t>
        </is>
      </c>
      <c r="I3415" s="0">
        <v>49.99</v>
      </c>
      <c r="J3415" s="0">
        <v>71</v>
      </c>
    </row>
    <row r="3416" spans="1:10" customHeight="0">
      <c r="A3416" s="0">
        <f>HYPERLINK("https://dl.dropboxusercontent.com/scl/fi/yfqtt006g5udkner7u6co/lennon.jpg?rlkey=n5tk6wx64ur5m6tuup5nw8b2c&amp;dl=0","Click to download Image")</f>
      </c>
      <c r="B3416" s="0">
        <f>HYPERLINK("https://dl.dropboxusercontent.com/scl/fi/n125smqshgp5hb8o6p1sq/size-chartladies-h.jpg?rlkey=4uwrnyrqe6u6en31kgtehvc6d&amp;dl=0","Click to download SizeChart")</f>
      </c>
      <c r="C3416" s="0" t="inlineStr">
        <is>
          <t>Lennon Women's Cold Shoulder Long Sleeve Shirt</t>
        </is>
      </c>
      <c r="D3416" s="1">
        <v>98426</v>
      </c>
      <c r="E3416" s="0" t="inlineStr">
        <is>
          <t>LENNON:98426B-M</t>
        </is>
      </c>
      <c r="G3416" s="0" t="inlineStr">
        <is>
          <t>WOMENS</t>
        </is>
      </c>
      <c r="H3416" s="0" t="inlineStr">
        <is>
          <t>M</t>
        </is>
      </c>
      <c r="I3416" s="0">
        <v>49.99</v>
      </c>
      <c r="J3416" s="0">
        <v>90</v>
      </c>
    </row>
    <row r="3417" spans="1:10" customHeight="0">
      <c r="A3417" s="0">
        <f>HYPERLINK("https://dl.dropboxusercontent.com/scl/fi/yfqtt006g5udkner7u6co/lennon.jpg?rlkey=n5tk6wx64ur5m6tuup5nw8b2c&amp;dl=0","Click to download Image")</f>
      </c>
      <c r="B3417" s="0">
        <f>HYPERLINK("https://dl.dropboxusercontent.com/scl/fi/n125smqshgp5hb8o6p1sq/size-chartladies-h.jpg?rlkey=4uwrnyrqe6u6en31kgtehvc6d&amp;dl=0","Click to download SizeChart")</f>
      </c>
      <c r="C3417" s="0" t="inlineStr">
        <is>
          <t>Lennon Women's Cold Shoulder Long Sleeve Shirt</t>
        </is>
      </c>
      <c r="D3417" s="1">
        <v>98426</v>
      </c>
      <c r="E3417" s="0" t="inlineStr">
        <is>
          <t>LENNON:98426C-L</t>
        </is>
      </c>
      <c r="G3417" s="0" t="inlineStr">
        <is>
          <t>WOMENS</t>
        </is>
      </c>
      <c r="H3417" s="0" t="inlineStr">
        <is>
          <t>L</t>
        </is>
      </c>
      <c r="I3417" s="0">
        <v>49.99</v>
      </c>
      <c r="J3417" s="0">
        <v>97</v>
      </c>
    </row>
    <row r="3418" spans="1:10" customHeight="0">
      <c r="A3418" s="0">
        <f>HYPERLINK("https://dl.dropboxusercontent.com/scl/fi/yfqtt006g5udkner7u6co/lennon.jpg?rlkey=n5tk6wx64ur5m6tuup5nw8b2c&amp;dl=0","Click to download Image")</f>
      </c>
      <c r="B3418" s="0">
        <f>HYPERLINK("https://dl.dropboxusercontent.com/scl/fi/n125smqshgp5hb8o6p1sq/size-chartladies-h.jpg?rlkey=4uwrnyrqe6u6en31kgtehvc6d&amp;dl=0","Click to download SizeChart")</f>
      </c>
      <c r="C3418" s="0" t="inlineStr">
        <is>
          <t>Lennon Women's Cold Shoulder Long Sleeve Shirt</t>
        </is>
      </c>
      <c r="D3418" s="1">
        <v>98426</v>
      </c>
      <c r="E3418" s="0" t="inlineStr">
        <is>
          <t>LENNON:98426D-XL</t>
        </is>
      </c>
      <c r="G3418" s="0" t="inlineStr">
        <is>
          <t>WOMENS</t>
        </is>
      </c>
      <c r="H3418" s="0" t="inlineStr">
        <is>
          <t>XL</t>
        </is>
      </c>
      <c r="I3418" s="0">
        <v>49.99</v>
      </c>
      <c r="J3418" s="0">
        <v>102</v>
      </c>
    </row>
    <row r="3419" spans="1:10" customHeight="0">
      <c r="A3419" s="0">
        <f>HYPERLINK("https://dl.dropboxusercontent.com/scl/fi/yfqtt006g5udkner7u6co/lennon.jpg?rlkey=n5tk6wx64ur5m6tuup5nw8b2c&amp;dl=0","Click to download Image")</f>
      </c>
      <c r="B3419" s="0">
        <f>HYPERLINK("https://dl.dropboxusercontent.com/scl/fi/n125smqshgp5hb8o6p1sq/size-chartladies-h.jpg?rlkey=4uwrnyrqe6u6en31kgtehvc6d&amp;dl=0","Click to download SizeChart")</f>
      </c>
      <c r="C3419" s="0" t="inlineStr">
        <is>
          <t>Lennon Women's Cold Shoulder Long Sleeve Shirt</t>
        </is>
      </c>
      <c r="D3419" s="1">
        <v>98426</v>
      </c>
      <c r="E3419" s="0" t="inlineStr">
        <is>
          <t>LENNON:98426E-2XL</t>
        </is>
      </c>
      <c r="G3419" s="0" t="inlineStr">
        <is>
          <t>WOMENS</t>
        </is>
      </c>
      <c r="H3419" s="0" t="inlineStr">
        <is>
          <t>2XL</t>
        </is>
      </c>
      <c r="I3419" s="0">
        <v>51.99</v>
      </c>
      <c r="J3419" s="0">
        <v>77</v>
      </c>
    </row>
    <row r="3420" spans="1:10" customHeight="0">
      <c r="A3420" s="0">
        <f>HYPERLINK("https://dl.dropboxusercontent.com/scl/fi/yfqtt006g5udkner7u6co/lennon.jpg?rlkey=n5tk6wx64ur5m6tuup5nw8b2c&amp;dl=0","Click to download Image")</f>
      </c>
      <c r="B3420" s="0">
        <f>HYPERLINK("https://dl.dropboxusercontent.com/scl/fi/n125smqshgp5hb8o6p1sq/size-chartladies-h.jpg?rlkey=4uwrnyrqe6u6en31kgtehvc6d&amp;dl=0","Click to download SizeChart")</f>
      </c>
      <c r="C3420" s="0" t="inlineStr">
        <is>
          <t>Lennon Women's Cold Shoulder Long Sleeve Shirt</t>
        </is>
      </c>
      <c r="D3420" s="1">
        <v>98426</v>
      </c>
      <c r="E3420" s="0" t="inlineStr">
        <is>
          <t>LENNON:98426F-3XL</t>
        </is>
      </c>
      <c r="G3420" s="0" t="inlineStr">
        <is>
          <t>WOMENS</t>
        </is>
      </c>
      <c r="H3420" s="0" t="inlineStr">
        <is>
          <t>3XL</t>
        </is>
      </c>
      <c r="I3420" s="0">
        <v>51.99</v>
      </c>
      <c r="J3420" s="0">
        <v>19</v>
      </c>
    </row>
    <row r="3421" spans="1:10" customHeight="0">
      <c r="A3421" s="0">
        <f>HYPERLINK("https://dl.dropboxusercontent.com/scl/fi/tpc2godzjfnawdhkynxnh/lauren.jpg?rlkey=u6h6vapt9j8ffro0u9ttvpsjz&amp;dl=0","Click to download Image")</f>
      </c>
      <c r="B3421" s="0">
        <f>HYPERLINK("https://dl.dropboxusercontent.com/scl/fi/8rdm9lp1ou1nwbn45pozy/ladies-b.jpg?rlkey=k2tozyjaz1v6jp1pa1fzai2d3&amp;dl=0","Click to download SizeChart")</f>
      </c>
      <c r="C3421" s="0" t="inlineStr">
        <is>
          <t>Lauren Women's Full Zip Hoodie</t>
        </is>
      </c>
      <c r="D3421" s="1">
        <v>95633</v>
      </c>
      <c r="E3421" s="0" t="inlineStr">
        <is>
          <t>LAUREN:95633A-S</t>
        </is>
      </c>
      <c r="G3421" s="0" t="inlineStr">
        <is>
          <t>WOMENS</t>
        </is>
      </c>
      <c r="H3421" s="0" t="inlineStr">
        <is>
          <t>S</t>
        </is>
      </c>
      <c r="I3421" s="0">
        <v>49.99</v>
      </c>
      <c r="J3421" s="0">
        <v>16</v>
      </c>
    </row>
    <row r="3422" spans="1:10" customHeight="0">
      <c r="A3422" s="0">
        <f>HYPERLINK("https://dl.dropboxusercontent.com/scl/fi/tpc2godzjfnawdhkynxnh/lauren.jpg?rlkey=u6h6vapt9j8ffro0u9ttvpsjz&amp;dl=0","Click to download Image")</f>
      </c>
      <c r="B3422" s="0">
        <f>HYPERLINK("https://dl.dropboxusercontent.com/scl/fi/8rdm9lp1ou1nwbn45pozy/ladies-b.jpg?rlkey=k2tozyjaz1v6jp1pa1fzai2d3&amp;dl=0","Click to download SizeChart")</f>
      </c>
      <c r="C3422" s="0" t="inlineStr">
        <is>
          <t>Lauren Women's Full Zip Hoodie</t>
        </is>
      </c>
      <c r="D3422" s="1">
        <v>95633</v>
      </c>
      <c r="E3422" s="0" t="inlineStr">
        <is>
          <t>LAUREN:95633B-M</t>
        </is>
      </c>
      <c r="G3422" s="0" t="inlineStr">
        <is>
          <t>WOMENS</t>
        </is>
      </c>
      <c r="H3422" s="0" t="inlineStr">
        <is>
          <t>M</t>
        </is>
      </c>
      <c r="I3422" s="0">
        <v>49.99</v>
      </c>
      <c r="J3422" s="0">
        <v>9</v>
      </c>
    </row>
    <row r="3423" spans="1:10" customHeight="0">
      <c r="A3423" s="0">
        <f>HYPERLINK("https://dl.dropboxusercontent.com/scl/fi/tpc2godzjfnawdhkynxnh/lauren.jpg?rlkey=u6h6vapt9j8ffro0u9ttvpsjz&amp;dl=0","Click to download Image")</f>
      </c>
      <c r="B3423" s="0">
        <f>HYPERLINK("https://dl.dropboxusercontent.com/scl/fi/8rdm9lp1ou1nwbn45pozy/ladies-b.jpg?rlkey=k2tozyjaz1v6jp1pa1fzai2d3&amp;dl=0","Click to download SizeChart")</f>
      </c>
      <c r="C3423" s="0" t="inlineStr">
        <is>
          <t>Lauren Women's Full Zip Hoodie</t>
        </is>
      </c>
      <c r="D3423" s="1">
        <v>95633</v>
      </c>
      <c r="E3423" s="0" t="inlineStr">
        <is>
          <t>LAUREN:95633C-L</t>
        </is>
      </c>
      <c r="G3423" s="0" t="inlineStr">
        <is>
          <t>WOMENS</t>
        </is>
      </c>
      <c r="H3423" s="0" t="inlineStr">
        <is>
          <t>L</t>
        </is>
      </c>
      <c r="I3423" s="0">
        <v>49.99</v>
      </c>
      <c r="J3423" s="0">
        <v>57</v>
      </c>
    </row>
    <row r="3424" spans="1:10" customHeight="0">
      <c r="A3424" s="0">
        <f>HYPERLINK("https://dl.dropboxusercontent.com/scl/fi/tpc2godzjfnawdhkynxnh/lauren.jpg?rlkey=u6h6vapt9j8ffro0u9ttvpsjz&amp;dl=0","Click to download Image")</f>
      </c>
      <c r="B3424" s="0">
        <f>HYPERLINK("https://dl.dropboxusercontent.com/scl/fi/8rdm9lp1ou1nwbn45pozy/ladies-b.jpg?rlkey=k2tozyjaz1v6jp1pa1fzai2d3&amp;dl=0","Click to download SizeChart")</f>
      </c>
      <c r="C3424" s="0" t="inlineStr">
        <is>
          <t>Lauren Women's Full Zip Hoodie</t>
        </is>
      </c>
      <c r="D3424" s="1">
        <v>95633</v>
      </c>
      <c r="E3424" s="0" t="inlineStr">
        <is>
          <t>LAUREN:95633D-XL</t>
        </is>
      </c>
      <c r="G3424" s="0" t="inlineStr">
        <is>
          <t>WOMENS</t>
        </is>
      </c>
      <c r="H3424" s="0" t="inlineStr">
        <is>
          <t>XL</t>
        </is>
      </c>
      <c r="I3424" s="0">
        <v>49.99</v>
      </c>
      <c r="J3424" s="0">
        <v>56</v>
      </c>
    </row>
    <row r="3425" spans="1:10" customHeight="0">
      <c r="A3425" s="0">
        <f>HYPERLINK("https://dl.dropboxusercontent.com/scl/fi/bbs0fs50bntpw2qfq0nrr/96640f16002.jpg?rlkey=rah425b6yvjodmij360i5pjjo&amp;dl=0","Click to download Image")</f>
      </c>
      <c r="C3425" s="0" t="inlineStr">
        <is>
          <t>Dakota Youth Long Sleeve</t>
        </is>
      </c>
      <c r="D3425" s="1">
        <v>96640</v>
      </c>
      <c r="E3425" s="0" t="inlineStr">
        <is>
          <t>DAKOTA:96640A-S</t>
        </is>
      </c>
      <c r="G3425" s="0" t="inlineStr">
        <is>
          <t>YOUTH</t>
        </is>
      </c>
      <c r="H3425" s="0" t="inlineStr">
        <is>
          <t>YS</t>
        </is>
      </c>
      <c r="I3425" s="0">
        <v>39.99</v>
      </c>
      <c r="J3425" s="0">
        <v>25</v>
      </c>
    </row>
    <row r="3426" spans="1:10" customHeight="0">
      <c r="A3426" s="0">
        <f>HYPERLINK("https://dl.dropboxusercontent.com/scl/fi/bbs0fs50bntpw2qfq0nrr/96640f16002.jpg?rlkey=rah425b6yvjodmij360i5pjjo&amp;dl=0","Click to download Image")</f>
      </c>
      <c r="C3426" s="0" t="inlineStr">
        <is>
          <t>Dakota Youth Long Sleeve</t>
        </is>
      </c>
      <c r="D3426" s="1">
        <v>96640</v>
      </c>
      <c r="E3426" s="0" t="inlineStr">
        <is>
          <t>DAKOTA:96640B-M</t>
        </is>
      </c>
      <c r="G3426" s="0" t="inlineStr">
        <is>
          <t>YOUTH</t>
        </is>
      </c>
      <c r="H3426" s="0" t="inlineStr">
        <is>
          <t>YM</t>
        </is>
      </c>
      <c r="I3426" s="0">
        <v>39.99</v>
      </c>
      <c r="J3426" s="0">
        <v>26</v>
      </c>
    </row>
    <row r="3427" spans="1:10" customHeight="0">
      <c r="A3427" s="0">
        <f>HYPERLINK("https://dl.dropboxusercontent.com/scl/fi/bbs0fs50bntpw2qfq0nrr/96640f16002.jpg?rlkey=rah425b6yvjodmij360i5pjjo&amp;dl=0","Click to download Image")</f>
      </c>
      <c r="C3427" s="0" t="inlineStr">
        <is>
          <t>Dakota Youth Long Sleeve</t>
        </is>
      </c>
      <c r="D3427" s="1">
        <v>96640</v>
      </c>
      <c r="E3427" s="0" t="inlineStr">
        <is>
          <t>DAKOTA:96640C-L</t>
        </is>
      </c>
      <c r="G3427" s="0" t="inlineStr">
        <is>
          <t>YOUTH</t>
        </is>
      </c>
      <c r="H3427" s="0" t="inlineStr">
        <is>
          <t>YL</t>
        </is>
      </c>
      <c r="I3427" s="0">
        <v>39.99</v>
      </c>
      <c r="J3427" s="0">
        <v>20</v>
      </c>
    </row>
    <row r="3428" spans="1:10" customHeight="0">
      <c r="A3428" s="0">
        <f>HYPERLINK("https://dl.dropboxusercontent.com/scl/fi/bbs0fs50bntpw2qfq0nrr/96640f16002.jpg?rlkey=rah425b6yvjodmij360i5pjjo&amp;dl=0","Click to download Image")</f>
      </c>
      <c r="C3428" s="0" t="inlineStr">
        <is>
          <t>Dakota Youth Long Sleeve</t>
        </is>
      </c>
      <c r="D3428" s="1">
        <v>96640</v>
      </c>
      <c r="E3428" s="0" t="inlineStr">
        <is>
          <t>DAKOTA:96640D-XL</t>
        </is>
      </c>
      <c r="G3428" s="0" t="inlineStr">
        <is>
          <t>YOUTH</t>
        </is>
      </c>
      <c r="H3428" s="0" t="inlineStr">
        <is>
          <t>YXL</t>
        </is>
      </c>
      <c r="I3428" s="0">
        <v>39.99</v>
      </c>
      <c r="J3428" s="0">
        <v>33</v>
      </c>
    </row>
    <row r="3429" spans="1:10" customHeight="0">
      <c r="A3429" s="0">
        <f>HYPERLINK("https://dl.dropboxusercontent.com/scl/fi/81c5f1qqn575odhsmesuu/98797f25453.jpg?rlkey=9giuzk7k8snnub8ytoopqj5kx&amp;dl=0","Click to download Image")</f>
      </c>
      <c r="B3429" s="0">
        <f>HYPERLINK("https://dl.dropboxusercontent.com/scl/fi/je36yzbsaqssrgcchxds6/mens-d.jpg?rlkey=7fncd2wxil2b3p1yjd1xkgkw3&amp;dl=0","Click to download SizeChart")</f>
      </c>
      <c r="C3429" s="0" t="inlineStr">
        <is>
          <t>Blake Realtree Farm Strong Hoodie</t>
        </is>
      </c>
      <c r="D3429" s="1">
        <v>98797</v>
      </c>
      <c r="E3429" s="0" t="inlineStr">
        <is>
          <t>BLAKE:98797A-S</t>
        </is>
      </c>
      <c r="F3429" s="2">
        <v>800098797017</v>
      </c>
      <c r="G3429" s="0" t="inlineStr">
        <is>
          <t>MENS</t>
        </is>
      </c>
      <c r="H3429" s="0" t="inlineStr">
        <is>
          <t>S</t>
        </is>
      </c>
      <c r="I3429" s="0">
        <v>64.99</v>
      </c>
      <c r="J3429" s="0">
        <v>38</v>
      </c>
    </row>
    <row r="3430" spans="1:10" customHeight="0">
      <c r="A3430" s="0">
        <f>HYPERLINK("https://dl.dropboxusercontent.com/scl/fi/81c5f1qqn575odhsmesuu/98797f25453.jpg?rlkey=9giuzk7k8snnub8ytoopqj5kx&amp;dl=0","Click to download Image")</f>
      </c>
      <c r="B3430" s="0">
        <f>HYPERLINK("https://dl.dropboxusercontent.com/scl/fi/je36yzbsaqssrgcchxds6/mens-d.jpg?rlkey=7fncd2wxil2b3p1yjd1xkgkw3&amp;dl=0","Click to download SizeChart")</f>
      </c>
      <c r="C3430" s="0" t="inlineStr">
        <is>
          <t>Blake Realtree Farm Strong Hoodie</t>
        </is>
      </c>
      <c r="D3430" s="1">
        <v>98797</v>
      </c>
      <c r="E3430" s="0" t="inlineStr">
        <is>
          <t>BLAKE:98797B-M</t>
        </is>
      </c>
      <c r="F3430" s="2">
        <v>800098797024</v>
      </c>
      <c r="G3430" s="0" t="inlineStr">
        <is>
          <t>MENS</t>
        </is>
      </c>
      <c r="H3430" s="0" t="inlineStr">
        <is>
          <t>M</t>
        </is>
      </c>
      <c r="I3430" s="0">
        <v>64.99</v>
      </c>
      <c r="J3430" s="0">
        <v>20</v>
      </c>
    </row>
    <row r="3431" spans="1:10" customHeight="0">
      <c r="A3431" s="0">
        <f>HYPERLINK("https://dl.dropboxusercontent.com/scl/fi/81c5f1qqn575odhsmesuu/98797f25453.jpg?rlkey=9giuzk7k8snnub8ytoopqj5kx&amp;dl=0","Click to download Image")</f>
      </c>
      <c r="B3431" s="0">
        <f>HYPERLINK("https://dl.dropboxusercontent.com/scl/fi/je36yzbsaqssrgcchxds6/mens-d.jpg?rlkey=7fncd2wxil2b3p1yjd1xkgkw3&amp;dl=0","Click to download SizeChart")</f>
      </c>
      <c r="C3431" s="0" t="inlineStr">
        <is>
          <t>Blake Realtree Farm Strong Hoodie</t>
        </is>
      </c>
      <c r="D3431" s="1">
        <v>98797</v>
      </c>
      <c r="E3431" s="0" t="inlineStr">
        <is>
          <t>BLAKE:98797C-L</t>
        </is>
      </c>
      <c r="F3431" s="2">
        <v>800098797031</v>
      </c>
      <c r="G3431" s="0" t="inlineStr">
        <is>
          <t>MENS</t>
        </is>
      </c>
      <c r="H3431" s="0" t="inlineStr">
        <is>
          <t>L</t>
        </is>
      </c>
      <c r="I3431" s="0">
        <v>64.99</v>
      </c>
      <c r="J3431" s="0">
        <v>0</v>
      </c>
    </row>
    <row r="3432" spans="1:10" customHeight="0">
      <c r="A3432" s="0">
        <f>HYPERLINK("https://dl.dropboxusercontent.com/scl/fi/81c5f1qqn575odhsmesuu/98797f25453.jpg?rlkey=9giuzk7k8snnub8ytoopqj5kx&amp;dl=0","Click to download Image")</f>
      </c>
      <c r="B3432" s="0">
        <f>HYPERLINK("https://dl.dropboxusercontent.com/scl/fi/je36yzbsaqssrgcchxds6/mens-d.jpg?rlkey=7fncd2wxil2b3p1yjd1xkgkw3&amp;dl=0","Click to download SizeChart")</f>
      </c>
      <c r="C3432" s="0" t="inlineStr">
        <is>
          <t>Blake Realtree Farm Strong Hoodie</t>
        </is>
      </c>
      <c r="D3432" s="1">
        <v>98797</v>
      </c>
      <c r="E3432" s="0" t="inlineStr">
        <is>
          <t>BLAKE:98797D-XL</t>
        </is>
      </c>
      <c r="F3432" s="2">
        <v>800098797048</v>
      </c>
      <c r="G3432" s="0" t="inlineStr">
        <is>
          <t>MENS</t>
        </is>
      </c>
      <c r="H3432" s="0" t="inlineStr">
        <is>
          <t>XL</t>
        </is>
      </c>
      <c r="I3432" s="0">
        <v>64.99</v>
      </c>
      <c r="J3432" s="0">
        <v>6</v>
      </c>
    </row>
    <row r="3433" spans="1:10" customHeight="0">
      <c r="A3433" s="0">
        <f>HYPERLINK("https://dl.dropboxusercontent.com/scl/fi/81c5f1qqn575odhsmesuu/98797f25453.jpg?rlkey=9giuzk7k8snnub8ytoopqj5kx&amp;dl=0","Click to download Image")</f>
      </c>
      <c r="B3433" s="0">
        <f>HYPERLINK("https://dl.dropboxusercontent.com/scl/fi/je36yzbsaqssrgcchxds6/mens-d.jpg?rlkey=7fncd2wxil2b3p1yjd1xkgkw3&amp;dl=0","Click to download SizeChart")</f>
      </c>
      <c r="C3433" s="0" t="inlineStr">
        <is>
          <t>Blake Realtree Farm Strong Hoodie</t>
        </is>
      </c>
      <c r="D3433" s="1">
        <v>98797</v>
      </c>
      <c r="E3433" s="0" t="inlineStr">
        <is>
          <t>BLAKE:98797E-2XL</t>
        </is>
      </c>
      <c r="F3433" s="2">
        <v>800098797055</v>
      </c>
      <c r="G3433" s="0" t="inlineStr">
        <is>
          <t>MENS</t>
        </is>
      </c>
      <c r="H3433" s="0" t="inlineStr">
        <is>
          <t>2XL</t>
        </is>
      </c>
      <c r="I3433" s="0">
        <v>66.99</v>
      </c>
      <c r="J3433" s="0">
        <v>4</v>
      </c>
    </row>
    <row r="3434" spans="1:10" customHeight="0">
      <c r="A3434" s="0">
        <f>HYPERLINK("https://dl.dropboxusercontent.com/scl/fi/81c5f1qqn575odhsmesuu/98797f25453.jpg?rlkey=9giuzk7k8snnub8ytoopqj5kx&amp;dl=0","Click to download Image")</f>
      </c>
      <c r="B3434" s="0">
        <f>HYPERLINK("https://dl.dropboxusercontent.com/scl/fi/je36yzbsaqssrgcchxds6/mens-d.jpg?rlkey=7fncd2wxil2b3p1yjd1xkgkw3&amp;dl=0","Click to download SizeChart")</f>
      </c>
      <c r="C3434" s="0" t="inlineStr">
        <is>
          <t>Blake Realtree Farm Strong Hoodie</t>
        </is>
      </c>
      <c r="D3434" s="1">
        <v>98797</v>
      </c>
      <c r="E3434" s="0" t="inlineStr">
        <is>
          <t>BLAKE:98797F-3XL</t>
        </is>
      </c>
      <c r="F3434" s="2">
        <v>800098797062</v>
      </c>
      <c r="G3434" s="0" t="inlineStr">
        <is>
          <t>MENS</t>
        </is>
      </c>
      <c r="H3434" s="0" t="inlineStr">
        <is>
          <t>3XL</t>
        </is>
      </c>
      <c r="I3434" s="0">
        <v>66.99</v>
      </c>
      <c r="J3434" s="0">
        <v>0</v>
      </c>
    </row>
    <row r="3435" spans="1:10" customHeight="0">
      <c r="A3435" s="0">
        <f>HYPERLINK("https://dl.dropboxusercontent.com/scl/fi/khahwyyu35v86leon826e/98480af63799.jpg?rlkey=8r3k4595odwnb257n8ektu382&amp;dl=0","Click to download Image")</f>
      </c>
      <c r="C3435" s="0" t="inlineStr">
        <is>
          <t>Kimberly Youth Long Sleeve</t>
        </is>
      </c>
      <c r="D3435" s="1">
        <v>98480</v>
      </c>
      <c r="E3435" s="0" t="inlineStr">
        <is>
          <t>KIMBERLY:98480A-YS</t>
        </is>
      </c>
      <c r="G3435" s="0" t="inlineStr">
        <is>
          <t>YOUTH</t>
        </is>
      </c>
      <c r="H3435" s="0" t="inlineStr">
        <is>
          <t>YS</t>
        </is>
      </c>
      <c r="I3435" s="0">
        <v>39.99</v>
      </c>
      <c r="J3435" s="0">
        <v>107</v>
      </c>
    </row>
    <row r="3436" spans="1:10" customHeight="0">
      <c r="A3436" s="0">
        <f>HYPERLINK("https://dl.dropboxusercontent.com/scl/fi/khahwyyu35v86leon826e/98480af63799.jpg?rlkey=8r3k4595odwnb257n8ektu382&amp;dl=0","Click to download Image")</f>
      </c>
      <c r="C3436" s="0" t="inlineStr">
        <is>
          <t>Kimberly Youth Long Sleeve</t>
        </is>
      </c>
      <c r="D3436" s="1">
        <v>98480</v>
      </c>
      <c r="E3436" s="0" t="inlineStr">
        <is>
          <t>KIMBERLY:98480B-YM</t>
        </is>
      </c>
      <c r="G3436" s="0" t="inlineStr">
        <is>
          <t>YOUTH</t>
        </is>
      </c>
      <c r="H3436" s="0" t="inlineStr">
        <is>
          <t>YM</t>
        </is>
      </c>
      <c r="I3436" s="0">
        <v>39.99</v>
      </c>
      <c r="J3436" s="0">
        <v>117</v>
      </c>
    </row>
    <row r="3437" spans="1:10" customHeight="0">
      <c r="A3437" s="0">
        <f>HYPERLINK("https://dl.dropboxusercontent.com/scl/fi/khahwyyu35v86leon826e/98480af63799.jpg?rlkey=8r3k4595odwnb257n8ektu382&amp;dl=0","Click to download Image")</f>
      </c>
      <c r="C3437" s="0" t="inlineStr">
        <is>
          <t>Kimberly Youth Long Sleeve</t>
        </is>
      </c>
      <c r="D3437" s="1">
        <v>98480</v>
      </c>
      <c r="E3437" s="0" t="inlineStr">
        <is>
          <t>KIMBERLY:98480C-YL</t>
        </is>
      </c>
      <c r="G3437" s="0" t="inlineStr">
        <is>
          <t>YOUTH</t>
        </is>
      </c>
      <c r="H3437" s="0" t="inlineStr">
        <is>
          <t>YL</t>
        </is>
      </c>
      <c r="I3437" s="0">
        <v>39.99</v>
      </c>
      <c r="J3437" s="0">
        <v>103</v>
      </c>
    </row>
    <row r="3438" spans="1:10" customHeight="0">
      <c r="A3438" s="0">
        <f>HYPERLINK("https://dl.dropboxusercontent.com/scl/fi/khahwyyu35v86leon826e/98480af63799.jpg?rlkey=8r3k4595odwnb257n8ektu382&amp;dl=0","Click to download Image")</f>
      </c>
      <c r="C3438" s="0" t="inlineStr">
        <is>
          <t>Kimberly Youth Long Sleeve</t>
        </is>
      </c>
      <c r="D3438" s="1">
        <v>98480</v>
      </c>
      <c r="E3438" s="0" t="inlineStr">
        <is>
          <t>KIMBERLY:98480D-YXL</t>
        </is>
      </c>
      <c r="G3438" s="0" t="inlineStr">
        <is>
          <t>YOUTH</t>
        </is>
      </c>
      <c r="H3438" s="0" t="inlineStr">
        <is>
          <t>YXL</t>
        </is>
      </c>
      <c r="I3438" s="0">
        <v>39.99</v>
      </c>
      <c r="J3438" s="0">
        <v>112</v>
      </c>
    </row>
    <row r="3439" spans="1:10" customHeight="0">
      <c r="A3439" s="0">
        <f>HYPERLINK("https://dl.dropboxusercontent.com/scl/fi/vs1i82m3cxzk3yky6sbrk/gwent.jpg?rlkey=5exxru6na7kbvo5qhnpb6d2jo&amp;dl=0","Click to download Image")</f>
      </c>
      <c r="B3439" s="0">
        <f>HYPERLINK("https://dl.dropboxusercontent.com/scl/fi/le90yhrusv399i5uydsyf/size-charts-women-s-standard-fitted-shirt.jpg?rlkey=j4ul05ua81n4pi99dru6ym5jf&amp;dl=0","Click to download SizeChart")</f>
      </c>
      <c r="C3439" s="0" t="inlineStr">
        <is>
          <t>Gwen Women's Polo</t>
        </is>
      </c>
      <c r="D3439" s="1">
        <v>101183</v>
      </c>
      <c r="E3439" s="0" t="inlineStr">
        <is>
          <t>GWEN:101183A-S</t>
        </is>
      </c>
      <c r="G3439" s="0" t="inlineStr">
        <is>
          <t>WOMENS</t>
        </is>
      </c>
      <c r="H3439" s="0" t="inlineStr">
        <is>
          <t>S</t>
        </is>
      </c>
      <c r="I3439" s="0">
        <v>44.99</v>
      </c>
      <c r="J3439" s="0">
        <v>75</v>
      </c>
    </row>
    <row r="3440" spans="1:10" customHeight="0">
      <c r="A3440" s="0">
        <f>HYPERLINK("https://dl.dropboxusercontent.com/scl/fi/vs1i82m3cxzk3yky6sbrk/gwent.jpg?rlkey=5exxru6na7kbvo5qhnpb6d2jo&amp;dl=0","Click to download Image")</f>
      </c>
      <c r="B3440" s="0">
        <f>HYPERLINK("https://dl.dropboxusercontent.com/scl/fi/le90yhrusv399i5uydsyf/size-charts-women-s-standard-fitted-shirt.jpg?rlkey=j4ul05ua81n4pi99dru6ym5jf&amp;dl=0","Click to download SizeChart")</f>
      </c>
      <c r="C3440" s="0" t="inlineStr">
        <is>
          <t>Gwen Women's Polo</t>
        </is>
      </c>
      <c r="D3440" s="1">
        <v>101183</v>
      </c>
      <c r="E3440" s="0" t="inlineStr">
        <is>
          <t>GWEN:101183B-M</t>
        </is>
      </c>
      <c r="G3440" s="0" t="inlineStr">
        <is>
          <t>WOMENS</t>
        </is>
      </c>
      <c r="H3440" s="0" t="inlineStr">
        <is>
          <t>M</t>
        </is>
      </c>
      <c r="I3440" s="0">
        <v>44.99</v>
      </c>
      <c r="J3440" s="0">
        <v>98</v>
      </c>
    </row>
    <row r="3441" spans="1:10" customHeight="0">
      <c r="A3441" s="0">
        <f>HYPERLINK("https://dl.dropboxusercontent.com/scl/fi/vs1i82m3cxzk3yky6sbrk/gwent.jpg?rlkey=5exxru6na7kbvo5qhnpb6d2jo&amp;dl=0","Click to download Image")</f>
      </c>
      <c r="B3441" s="0">
        <f>HYPERLINK("https://dl.dropboxusercontent.com/scl/fi/le90yhrusv399i5uydsyf/size-charts-women-s-standard-fitted-shirt.jpg?rlkey=j4ul05ua81n4pi99dru6ym5jf&amp;dl=0","Click to download SizeChart")</f>
      </c>
      <c r="C3441" s="0" t="inlineStr">
        <is>
          <t>Gwen Women's Polo</t>
        </is>
      </c>
      <c r="D3441" s="1">
        <v>101183</v>
      </c>
      <c r="E3441" s="0" t="inlineStr">
        <is>
          <t>GWEN:101183C-L</t>
        </is>
      </c>
      <c r="G3441" s="0" t="inlineStr">
        <is>
          <t>WOMENS</t>
        </is>
      </c>
      <c r="H3441" s="0" t="inlineStr">
        <is>
          <t>L</t>
        </is>
      </c>
      <c r="I3441" s="0">
        <v>44.99</v>
      </c>
      <c r="J3441" s="0">
        <v>86</v>
      </c>
    </row>
    <row r="3442" spans="1:10" customHeight="0">
      <c r="A3442" s="0">
        <f>HYPERLINK("https://dl.dropboxusercontent.com/scl/fi/vs1i82m3cxzk3yky6sbrk/gwent.jpg?rlkey=5exxru6na7kbvo5qhnpb6d2jo&amp;dl=0","Click to download Image")</f>
      </c>
      <c r="B3442" s="0">
        <f>HYPERLINK("https://dl.dropboxusercontent.com/scl/fi/le90yhrusv399i5uydsyf/size-charts-women-s-standard-fitted-shirt.jpg?rlkey=j4ul05ua81n4pi99dru6ym5jf&amp;dl=0","Click to download SizeChart")</f>
      </c>
      <c r="C3442" s="0" t="inlineStr">
        <is>
          <t>Gwen Women's Polo</t>
        </is>
      </c>
      <c r="D3442" s="1">
        <v>101183</v>
      </c>
      <c r="E3442" s="0" t="inlineStr">
        <is>
          <t>GWEN:101183D-XL</t>
        </is>
      </c>
      <c r="G3442" s="0" t="inlineStr">
        <is>
          <t>WOMENS</t>
        </is>
      </c>
      <c r="H3442" s="0" t="inlineStr">
        <is>
          <t>XL</t>
        </is>
      </c>
      <c r="I3442" s="0">
        <v>44.99</v>
      </c>
      <c r="J3442" s="0">
        <v>105</v>
      </c>
    </row>
    <row r="3443" spans="1:10" customHeight="0">
      <c r="A3443" s="0">
        <f>HYPERLINK("https://dl.dropboxusercontent.com/scl/fi/vs1i82m3cxzk3yky6sbrk/gwent.jpg?rlkey=5exxru6na7kbvo5qhnpb6d2jo&amp;dl=0","Click to download Image")</f>
      </c>
      <c r="B3443" s="0">
        <f>HYPERLINK("https://dl.dropboxusercontent.com/scl/fi/le90yhrusv399i5uydsyf/size-charts-women-s-standard-fitted-shirt.jpg?rlkey=j4ul05ua81n4pi99dru6ym5jf&amp;dl=0","Click to download SizeChart")</f>
      </c>
      <c r="C3443" s="0" t="inlineStr">
        <is>
          <t>Gwen Women's Polo</t>
        </is>
      </c>
      <c r="D3443" s="1">
        <v>101183</v>
      </c>
      <c r="E3443" s="0" t="inlineStr">
        <is>
          <t>GWEN:101183E-2XL</t>
        </is>
      </c>
      <c r="G3443" s="0" t="inlineStr">
        <is>
          <t>WOMENS</t>
        </is>
      </c>
      <c r="H3443" s="0" t="inlineStr">
        <is>
          <t>2XL</t>
        </is>
      </c>
      <c r="I3443" s="0">
        <v>46.99</v>
      </c>
      <c r="J3443" s="0">
        <v>77</v>
      </c>
    </row>
    <row r="3444" spans="1:10" customHeight="0">
      <c r="A3444" s="0">
        <f>HYPERLINK("https://dl.dropboxusercontent.com/scl/fi/vs1i82m3cxzk3yky6sbrk/gwent.jpg?rlkey=5exxru6na7kbvo5qhnpb6d2jo&amp;dl=0","Click to download Image")</f>
      </c>
      <c r="B3444" s="0">
        <f>HYPERLINK("https://dl.dropboxusercontent.com/scl/fi/le90yhrusv399i5uydsyf/size-charts-women-s-standard-fitted-shirt.jpg?rlkey=j4ul05ua81n4pi99dru6ym5jf&amp;dl=0","Click to download SizeChart")</f>
      </c>
      <c r="C3444" s="0" t="inlineStr">
        <is>
          <t>Gwen Women's Polo</t>
        </is>
      </c>
      <c r="D3444" s="1">
        <v>101183</v>
      </c>
      <c r="E3444" s="0" t="inlineStr">
        <is>
          <t>GWEN:101183F-3XL</t>
        </is>
      </c>
      <c r="G3444" s="0" t="inlineStr">
        <is>
          <t>WOMENS</t>
        </is>
      </c>
      <c r="H3444" s="0" t="inlineStr">
        <is>
          <t>3XL</t>
        </is>
      </c>
      <c r="I3444" s="0">
        <v>46.99</v>
      </c>
      <c r="J3444" s="0">
        <v>14</v>
      </c>
    </row>
    <row r="3445" spans="1:10" customHeight="0">
      <c r="A3445" s="0">
        <f>HYPERLINK("https://dl.dropboxusercontent.com/scl/fi/92z6fpjogxwpev8845sp9/94823af.jpg?rlkey=ugnm12ro5jvecwaelyklln3qp&amp;dl=0","Click to download Image")</f>
      </c>
      <c r="B3445" s="0">
        <f>HYPERLINK("https://dl.dropboxusercontent.com/scl/fi/37sn3t5rzpm3jyxa5mhpx/mens-e.jpg?rlkey=zps12piemdh17m7obsaj08zo1&amp;dl=0","Click to download SizeChart")</f>
      </c>
      <c r="C3445" s="0" t="inlineStr">
        <is>
          <t>Kennedy Men's Polo</t>
        </is>
      </c>
      <c r="D3445" s="1">
        <v>94823</v>
      </c>
      <c r="E3445" s="0" t="inlineStr">
        <is>
          <t>KENNEDY:94823A- S</t>
        </is>
      </c>
      <c r="G3445" s="0" t="inlineStr">
        <is>
          <t>MENS</t>
        </is>
      </c>
      <c r="H3445" s="0" t="inlineStr">
        <is>
          <t>S</t>
        </is>
      </c>
      <c r="I3445" s="0">
        <v>39.99</v>
      </c>
      <c r="J3445" s="0">
        <v>18</v>
      </c>
    </row>
    <row r="3446" spans="1:10" customHeight="0">
      <c r="A3446" s="0">
        <f>HYPERLINK("https://dl.dropboxusercontent.com/scl/fi/92z6fpjogxwpev8845sp9/94823af.jpg?rlkey=ugnm12ro5jvecwaelyklln3qp&amp;dl=0","Click to download Image")</f>
      </c>
      <c r="B3446" s="0">
        <f>HYPERLINK("https://dl.dropboxusercontent.com/scl/fi/37sn3t5rzpm3jyxa5mhpx/mens-e.jpg?rlkey=zps12piemdh17m7obsaj08zo1&amp;dl=0","Click to download SizeChart")</f>
      </c>
      <c r="C3446" s="0" t="inlineStr">
        <is>
          <t>Kennedy Men's Polo</t>
        </is>
      </c>
      <c r="D3446" s="1">
        <v>94823</v>
      </c>
      <c r="E3446" s="0" t="inlineStr">
        <is>
          <t>KENNEDY:94823B- M</t>
        </is>
      </c>
      <c r="G3446" s="0" t="inlineStr">
        <is>
          <t>MENS</t>
        </is>
      </c>
      <c r="H3446" s="0" t="inlineStr">
        <is>
          <t>M</t>
        </is>
      </c>
      <c r="I3446" s="0">
        <v>39.99</v>
      </c>
      <c r="J3446" s="0">
        <v>11</v>
      </c>
    </row>
    <row r="3447" spans="1:10" customHeight="0">
      <c r="A3447" s="0">
        <f>HYPERLINK("https://dl.dropboxusercontent.com/scl/fi/92z6fpjogxwpev8845sp9/94823af.jpg?rlkey=ugnm12ro5jvecwaelyklln3qp&amp;dl=0","Click to download Image")</f>
      </c>
      <c r="B3447" s="0">
        <f>HYPERLINK("https://dl.dropboxusercontent.com/scl/fi/37sn3t5rzpm3jyxa5mhpx/mens-e.jpg?rlkey=zps12piemdh17m7obsaj08zo1&amp;dl=0","Click to download SizeChart")</f>
      </c>
      <c r="C3447" s="0" t="inlineStr">
        <is>
          <t>Kennedy Men's Polo</t>
        </is>
      </c>
      <c r="D3447" s="1">
        <v>94823</v>
      </c>
      <c r="E3447" s="0" t="inlineStr">
        <is>
          <t>KENNEDY:94823C- L</t>
        </is>
      </c>
      <c r="G3447" s="0" t="inlineStr">
        <is>
          <t>MENS</t>
        </is>
      </c>
      <c r="H3447" s="0" t="inlineStr">
        <is>
          <t>L</t>
        </is>
      </c>
      <c r="I3447" s="0">
        <v>39.99</v>
      </c>
      <c r="J3447" s="0">
        <v>13</v>
      </c>
    </row>
    <row r="3448" spans="1:10" customHeight="0">
      <c r="A3448" s="0">
        <f>HYPERLINK("https://dl.dropboxusercontent.com/scl/fi/92z6fpjogxwpev8845sp9/94823af.jpg?rlkey=ugnm12ro5jvecwaelyklln3qp&amp;dl=0","Click to download Image")</f>
      </c>
      <c r="B3448" s="0">
        <f>HYPERLINK("https://dl.dropboxusercontent.com/scl/fi/37sn3t5rzpm3jyxa5mhpx/mens-e.jpg?rlkey=zps12piemdh17m7obsaj08zo1&amp;dl=0","Click to download SizeChart")</f>
      </c>
      <c r="C3448" s="0" t="inlineStr">
        <is>
          <t>Kennedy Men's Polo</t>
        </is>
      </c>
      <c r="D3448" s="1">
        <v>94823</v>
      </c>
      <c r="E3448" s="0" t="inlineStr">
        <is>
          <t>KENNEDY:94823D- XL</t>
        </is>
      </c>
      <c r="G3448" s="0" t="inlineStr">
        <is>
          <t>MENS</t>
        </is>
      </c>
      <c r="H3448" s="0" t="inlineStr">
        <is>
          <t>XL</t>
        </is>
      </c>
      <c r="I3448" s="0">
        <v>39.99</v>
      </c>
      <c r="J3448" s="0">
        <v>4</v>
      </c>
    </row>
    <row r="3449" spans="1:10" customHeight="0">
      <c r="A3449" s="0">
        <f>HYPERLINK("https://dl.dropboxusercontent.com/scl/fi/gx740132bi6kwg6ncel5p/alexat.jpg?rlkey=mcyu9nchmbjtaglucip6dbrwi&amp;dl=0","Click to download Image")</f>
      </c>
      <c r="C3449" s="0" t="inlineStr">
        <is>
          <t>Alexa Women's Long Sleeve</t>
        </is>
      </c>
      <c r="D3449" s="1">
        <v>96422</v>
      </c>
      <c r="E3449" s="0" t="inlineStr">
        <is>
          <t>ALEXA:96422A-S</t>
        </is>
      </c>
      <c r="G3449" s="0" t="inlineStr">
        <is>
          <t>WOMENS</t>
        </is>
      </c>
      <c r="H3449" s="0" t="inlineStr">
        <is>
          <t>S</t>
        </is>
      </c>
      <c r="I3449" s="0">
        <v>34.99</v>
      </c>
      <c r="J3449" s="0">
        <v>8</v>
      </c>
    </row>
    <row r="3450" spans="1:10" customHeight="0">
      <c r="A3450" s="0">
        <f>HYPERLINK("https://dl.dropboxusercontent.com/scl/fi/gx740132bi6kwg6ncel5p/alexat.jpg?rlkey=mcyu9nchmbjtaglucip6dbrwi&amp;dl=0","Click to download Image")</f>
      </c>
      <c r="C3450" s="0" t="inlineStr">
        <is>
          <t>Alexa Women's Long Sleeve</t>
        </is>
      </c>
      <c r="D3450" s="1">
        <v>96422</v>
      </c>
      <c r="E3450" s="0" t="inlineStr">
        <is>
          <t>ALEXA:96422B-M</t>
        </is>
      </c>
      <c r="G3450" s="0" t="inlineStr">
        <is>
          <t>WOMENS</t>
        </is>
      </c>
      <c r="H3450" s="0" t="inlineStr">
        <is>
          <t>M</t>
        </is>
      </c>
      <c r="I3450" s="0">
        <v>34.99</v>
      </c>
      <c r="J3450" s="0">
        <v>15</v>
      </c>
    </row>
    <row r="3451" spans="1:10" customHeight="0">
      <c r="A3451" s="0">
        <f>HYPERLINK("https://dl.dropboxusercontent.com/scl/fi/gx740132bi6kwg6ncel5p/alexat.jpg?rlkey=mcyu9nchmbjtaglucip6dbrwi&amp;dl=0","Click to download Image")</f>
      </c>
      <c r="C3451" s="0" t="inlineStr">
        <is>
          <t>Alexa Women's Long Sleeve</t>
        </is>
      </c>
      <c r="D3451" s="1">
        <v>96422</v>
      </c>
      <c r="E3451" s="0" t="inlineStr">
        <is>
          <t>ALEXA:96422C-L</t>
        </is>
      </c>
      <c r="G3451" s="0" t="inlineStr">
        <is>
          <t>WOMENS</t>
        </is>
      </c>
      <c r="H3451" s="0" t="inlineStr">
        <is>
          <t>L</t>
        </is>
      </c>
      <c r="I3451" s="0">
        <v>34.99</v>
      </c>
      <c r="J3451" s="0">
        <v>42</v>
      </c>
    </row>
    <row r="3452" spans="1:10" customHeight="0">
      <c r="A3452" s="0">
        <f>HYPERLINK("https://dl.dropboxusercontent.com/scl/fi/gx740132bi6kwg6ncel5p/alexat.jpg?rlkey=mcyu9nchmbjtaglucip6dbrwi&amp;dl=0","Click to download Image")</f>
      </c>
      <c r="C3452" s="0" t="inlineStr">
        <is>
          <t>Alexa Women's Long Sleeve</t>
        </is>
      </c>
      <c r="D3452" s="1">
        <v>96422</v>
      </c>
      <c r="E3452" s="0" t="inlineStr">
        <is>
          <t>ALEXA:96422D-XL</t>
        </is>
      </c>
      <c r="G3452" s="0" t="inlineStr">
        <is>
          <t>WOMENS</t>
        </is>
      </c>
      <c r="H3452" s="0" t="inlineStr">
        <is>
          <t>XL</t>
        </is>
      </c>
      <c r="I3452" s="0">
        <v>34.99</v>
      </c>
      <c r="J3452" s="0">
        <v>36</v>
      </c>
    </row>
    <row r="3453" spans="1:10" customHeight="0">
      <c r="A3453" s="0">
        <f>HYPERLINK("https://dl.dropboxusercontent.com/scl/fi/gx740132bi6kwg6ncel5p/alexat.jpg?rlkey=mcyu9nchmbjtaglucip6dbrwi&amp;dl=0","Click to download Image")</f>
      </c>
      <c r="C3453" s="0" t="inlineStr">
        <is>
          <t>Alexa Women's Long Sleeve</t>
        </is>
      </c>
      <c r="D3453" s="1">
        <v>96422</v>
      </c>
      <c r="E3453" s="0" t="inlineStr">
        <is>
          <t>ALEXA:96422E-2XL</t>
        </is>
      </c>
      <c r="G3453" s="0" t="inlineStr">
        <is>
          <t>WOMENS</t>
        </is>
      </c>
      <c r="H3453" s="0" t="inlineStr">
        <is>
          <t>2XL</t>
        </is>
      </c>
      <c r="I3453" s="0">
        <v>36.99</v>
      </c>
      <c r="J3453" s="0">
        <v>23</v>
      </c>
    </row>
    <row r="3454" spans="1:10" customHeight="0">
      <c r="A3454" s="0">
        <f>HYPERLINK("https://dl.dropboxusercontent.com/scl/fi/v0ff26ag57bajwyrbfvcn/kellen-01.jpg?rlkey=drwv8mq0j7jf0zrrmh0wtmbie&amp;dl=0","Click to download Image")</f>
      </c>
      <c r="B3454" s="0">
        <f>HYPERLINK("https://dl.dropboxusercontent.com/scl/fi/uf3t1hcmxkm0j58dabnsp/size-chartladies-h.jpg?rlkey=76c7owt99h6ntnwx09w8r0ol0&amp;dl=0","Click to download SizeChart")</f>
      </c>
      <c r="C3454" s="0" t="inlineStr">
        <is>
          <t>Kellen Women's Polo</t>
        </is>
      </c>
      <c r="D3454" s="1">
        <v>97086</v>
      </c>
      <c r="E3454" s="0" t="inlineStr">
        <is>
          <t>KELLEN:97086A-S</t>
        </is>
      </c>
      <c r="G3454" s="0" t="inlineStr">
        <is>
          <t>WOMENS</t>
        </is>
      </c>
      <c r="H3454" s="0" t="inlineStr">
        <is>
          <t>S</t>
        </is>
      </c>
      <c r="I3454" s="0">
        <v>44.99</v>
      </c>
      <c r="J3454" s="0">
        <v>32</v>
      </c>
    </row>
    <row r="3455" spans="1:10" customHeight="0">
      <c r="A3455" s="0">
        <f>HYPERLINK("https://dl.dropboxusercontent.com/scl/fi/v0ff26ag57bajwyrbfvcn/kellen-01.jpg?rlkey=drwv8mq0j7jf0zrrmh0wtmbie&amp;dl=0","Click to download Image")</f>
      </c>
      <c r="B3455" s="0">
        <f>HYPERLINK("https://dl.dropboxusercontent.com/scl/fi/uf3t1hcmxkm0j58dabnsp/size-chartladies-h.jpg?rlkey=76c7owt99h6ntnwx09w8r0ol0&amp;dl=0","Click to download SizeChart")</f>
      </c>
      <c r="C3455" s="0" t="inlineStr">
        <is>
          <t>Kellen Women's Polo</t>
        </is>
      </c>
      <c r="D3455" s="1">
        <v>97086</v>
      </c>
      <c r="E3455" s="0" t="inlineStr">
        <is>
          <t>KELLEN:97086B-M</t>
        </is>
      </c>
      <c r="G3455" s="0" t="inlineStr">
        <is>
          <t>WOMENS</t>
        </is>
      </c>
      <c r="H3455" s="0" t="inlineStr">
        <is>
          <t>M</t>
        </is>
      </c>
      <c r="I3455" s="0">
        <v>44.99</v>
      </c>
      <c r="J3455" s="0">
        <v>30</v>
      </c>
    </row>
    <row r="3456" spans="1:10" customHeight="0">
      <c r="A3456" s="0">
        <f>HYPERLINK("https://dl.dropboxusercontent.com/scl/fi/v0ff26ag57bajwyrbfvcn/kellen-01.jpg?rlkey=drwv8mq0j7jf0zrrmh0wtmbie&amp;dl=0","Click to download Image")</f>
      </c>
      <c r="B3456" s="0">
        <f>HYPERLINK("https://dl.dropboxusercontent.com/scl/fi/uf3t1hcmxkm0j58dabnsp/size-chartladies-h.jpg?rlkey=76c7owt99h6ntnwx09w8r0ol0&amp;dl=0","Click to download SizeChart")</f>
      </c>
      <c r="C3456" s="0" t="inlineStr">
        <is>
          <t>Kellen Women's Polo</t>
        </is>
      </c>
      <c r="D3456" s="1">
        <v>97086</v>
      </c>
      <c r="E3456" s="0" t="inlineStr">
        <is>
          <t>KELLEN:97086C-L</t>
        </is>
      </c>
      <c r="G3456" s="0" t="inlineStr">
        <is>
          <t>WOMENS</t>
        </is>
      </c>
      <c r="H3456" s="0" t="inlineStr">
        <is>
          <t>L</t>
        </is>
      </c>
      <c r="I3456" s="0">
        <v>44.99</v>
      </c>
      <c r="J3456" s="0">
        <v>57</v>
      </c>
    </row>
    <row r="3457" spans="1:10" customHeight="0">
      <c r="A3457" s="0">
        <f>HYPERLINK("https://dl.dropboxusercontent.com/scl/fi/v0ff26ag57bajwyrbfvcn/kellen-01.jpg?rlkey=drwv8mq0j7jf0zrrmh0wtmbie&amp;dl=0","Click to download Image")</f>
      </c>
      <c r="B3457" s="0">
        <f>HYPERLINK("https://dl.dropboxusercontent.com/scl/fi/uf3t1hcmxkm0j58dabnsp/size-chartladies-h.jpg?rlkey=76c7owt99h6ntnwx09w8r0ol0&amp;dl=0","Click to download SizeChart")</f>
      </c>
      <c r="C3457" s="0" t="inlineStr">
        <is>
          <t>Kellen Women's Polo</t>
        </is>
      </c>
      <c r="D3457" s="1">
        <v>97086</v>
      </c>
      <c r="E3457" s="0" t="inlineStr">
        <is>
          <t>KELLEN:97086D-XL</t>
        </is>
      </c>
      <c r="G3457" s="0" t="inlineStr">
        <is>
          <t>WOMENS</t>
        </is>
      </c>
      <c r="H3457" s="0" t="inlineStr">
        <is>
          <t>XL</t>
        </is>
      </c>
      <c r="I3457" s="0">
        <v>44.99</v>
      </c>
      <c r="J3457" s="0">
        <v>61</v>
      </c>
    </row>
    <row r="3458" spans="1:10" customHeight="0">
      <c r="A3458" s="0">
        <f>HYPERLINK("https://dl.dropboxusercontent.com/scl/fi/v0ff26ag57bajwyrbfvcn/kellen-01.jpg?rlkey=drwv8mq0j7jf0zrrmh0wtmbie&amp;dl=0","Click to download Image")</f>
      </c>
      <c r="B3458" s="0">
        <f>HYPERLINK("https://dl.dropboxusercontent.com/scl/fi/uf3t1hcmxkm0j58dabnsp/size-chartladies-h.jpg?rlkey=76c7owt99h6ntnwx09w8r0ol0&amp;dl=0","Click to download SizeChart")</f>
      </c>
      <c r="C3458" s="0" t="inlineStr">
        <is>
          <t>Kellen Women's Polo</t>
        </is>
      </c>
      <c r="D3458" s="1">
        <v>97086</v>
      </c>
      <c r="E3458" s="0" t="inlineStr">
        <is>
          <t>KELLEN:97086E-2XL</t>
        </is>
      </c>
      <c r="G3458" s="0" t="inlineStr">
        <is>
          <t>WOMENS</t>
        </is>
      </c>
      <c r="H3458" s="0" t="inlineStr">
        <is>
          <t>2XL</t>
        </is>
      </c>
      <c r="I3458" s="0">
        <v>46.99</v>
      </c>
      <c r="J3458" s="0">
        <v>32</v>
      </c>
    </row>
    <row r="3459" spans="1:10" customHeight="0">
      <c r="A3459" s="0">
        <f>HYPERLINK("https://dl.dropboxusercontent.com/scl/fi/i8wl9yccsrg79yz1pgjr9/kellen-02.jpg?rlkey=ygeewpwiimp07520fcd3gd6ih&amp;dl=0","Click to download Image")</f>
      </c>
      <c r="B3459" s="0">
        <f>HYPERLINK("https://dl.dropboxusercontent.com/scl/fi/8f8uiq6mj02xc5a41tkg0/mens-e.jpg?rlkey=8bl711zxa7zg2zhh5zgqgr4wg&amp;dl=0","Click to download SizeChart")</f>
      </c>
      <c r="C3459" s="0" t="inlineStr">
        <is>
          <t>Kellen Men's Polo</t>
        </is>
      </c>
      <c r="D3459" s="1">
        <v>97087</v>
      </c>
      <c r="E3459" s="0" t="inlineStr">
        <is>
          <t>KELLEN:97087A-S</t>
        </is>
      </c>
      <c r="G3459" s="0" t="inlineStr">
        <is>
          <t>MENS</t>
        </is>
      </c>
      <c r="H3459" s="0" t="inlineStr">
        <is>
          <t>S</t>
        </is>
      </c>
      <c r="I3459" s="0">
        <v>44.99</v>
      </c>
      <c r="J3459" s="0">
        <v>12</v>
      </c>
    </row>
    <row r="3460" spans="1:10" customHeight="0">
      <c r="A3460" s="0">
        <f>HYPERLINK("https://dl.dropboxusercontent.com/scl/fi/i8wl9yccsrg79yz1pgjr9/kellen-02.jpg?rlkey=ygeewpwiimp07520fcd3gd6ih&amp;dl=0","Click to download Image")</f>
      </c>
      <c r="B3460" s="0">
        <f>HYPERLINK("https://dl.dropboxusercontent.com/scl/fi/8f8uiq6mj02xc5a41tkg0/mens-e.jpg?rlkey=8bl711zxa7zg2zhh5zgqgr4wg&amp;dl=0","Click to download SizeChart")</f>
      </c>
      <c r="C3460" s="0" t="inlineStr">
        <is>
          <t>Kellen Men's Polo</t>
        </is>
      </c>
      <c r="D3460" s="1">
        <v>97087</v>
      </c>
      <c r="E3460" s="0" t="inlineStr">
        <is>
          <t>KELLEN:97087B-M</t>
        </is>
      </c>
      <c r="G3460" s="0" t="inlineStr">
        <is>
          <t>MENS</t>
        </is>
      </c>
      <c r="H3460" s="0" t="inlineStr">
        <is>
          <t>M</t>
        </is>
      </c>
      <c r="I3460" s="0">
        <v>44.99</v>
      </c>
      <c r="J3460" s="0">
        <v>6</v>
      </c>
    </row>
    <row r="3461" spans="1:10" customHeight="0">
      <c r="A3461" s="0">
        <f>HYPERLINK("https://dl.dropboxusercontent.com/scl/fi/i8wl9yccsrg79yz1pgjr9/kellen-02.jpg?rlkey=ygeewpwiimp07520fcd3gd6ih&amp;dl=0","Click to download Image")</f>
      </c>
      <c r="B3461" s="0">
        <f>HYPERLINK("https://dl.dropboxusercontent.com/scl/fi/8f8uiq6mj02xc5a41tkg0/mens-e.jpg?rlkey=8bl711zxa7zg2zhh5zgqgr4wg&amp;dl=0","Click to download SizeChart")</f>
      </c>
      <c r="C3461" s="0" t="inlineStr">
        <is>
          <t>Kellen Men's Polo</t>
        </is>
      </c>
      <c r="D3461" s="1">
        <v>97087</v>
      </c>
      <c r="E3461" s="0" t="inlineStr">
        <is>
          <t>KELLEN:97087C-L</t>
        </is>
      </c>
      <c r="G3461" s="0" t="inlineStr">
        <is>
          <t>MENS</t>
        </is>
      </c>
      <c r="H3461" s="0" t="inlineStr">
        <is>
          <t>L</t>
        </is>
      </c>
      <c r="I3461" s="0">
        <v>44.99</v>
      </c>
      <c r="J3461" s="0">
        <v>2</v>
      </c>
    </row>
    <row r="3462" spans="1:10" customHeight="0">
      <c r="A3462" s="0">
        <f>HYPERLINK("https://dl.dropboxusercontent.com/scl/fi/i8wl9yccsrg79yz1pgjr9/kellen-02.jpg?rlkey=ygeewpwiimp07520fcd3gd6ih&amp;dl=0","Click to download Image")</f>
      </c>
      <c r="B3462" s="0">
        <f>HYPERLINK("https://dl.dropboxusercontent.com/scl/fi/8f8uiq6mj02xc5a41tkg0/mens-e.jpg?rlkey=8bl711zxa7zg2zhh5zgqgr4wg&amp;dl=0","Click to download SizeChart")</f>
      </c>
      <c r="C3462" s="0" t="inlineStr">
        <is>
          <t>Kellen Men's Polo</t>
        </is>
      </c>
      <c r="D3462" s="1">
        <v>97087</v>
      </c>
      <c r="E3462" s="0" t="inlineStr">
        <is>
          <t>KELLEN:97087D-XL</t>
        </is>
      </c>
      <c r="G3462" s="0" t="inlineStr">
        <is>
          <t>MENS</t>
        </is>
      </c>
      <c r="H3462" s="0" t="inlineStr">
        <is>
          <t>XL</t>
        </is>
      </c>
      <c r="I3462" s="0">
        <v>44.99</v>
      </c>
      <c r="J3462" s="0">
        <v>0</v>
      </c>
    </row>
    <row r="3463" spans="1:10" customHeight="0">
      <c r="A3463" s="0">
        <f>HYPERLINK("https://dl.dropboxusercontent.com/scl/fi/i8wl9yccsrg79yz1pgjr9/kellen-02.jpg?rlkey=ygeewpwiimp07520fcd3gd6ih&amp;dl=0","Click to download Image")</f>
      </c>
      <c r="B3463" s="0">
        <f>HYPERLINK("https://dl.dropboxusercontent.com/scl/fi/8f8uiq6mj02xc5a41tkg0/mens-e.jpg?rlkey=8bl711zxa7zg2zhh5zgqgr4wg&amp;dl=0","Click to download SizeChart")</f>
      </c>
      <c r="C3463" s="0" t="inlineStr">
        <is>
          <t>Kellen Men's Polo</t>
        </is>
      </c>
      <c r="D3463" s="1">
        <v>97087</v>
      </c>
      <c r="E3463" s="0" t="inlineStr">
        <is>
          <t>KELLEN:97087E-2XL</t>
        </is>
      </c>
      <c r="G3463" s="0" t="inlineStr">
        <is>
          <t>MENS</t>
        </is>
      </c>
      <c r="H3463" s="0" t="inlineStr">
        <is>
          <t>2XL</t>
        </is>
      </c>
      <c r="I3463" s="0">
        <v>46.99</v>
      </c>
      <c r="J3463" s="0">
        <v>0</v>
      </c>
    </row>
    <row r="3464" spans="1:10" customHeight="0">
      <c r="A3464" s="0">
        <f>HYPERLINK("https://dl.dropboxusercontent.com/scl/fi/i8wl9yccsrg79yz1pgjr9/kellen-02.jpg?rlkey=ygeewpwiimp07520fcd3gd6ih&amp;dl=0","Click to download Image")</f>
      </c>
      <c r="B3464" s="0">
        <f>HYPERLINK("https://dl.dropboxusercontent.com/scl/fi/8f8uiq6mj02xc5a41tkg0/mens-e.jpg?rlkey=8bl711zxa7zg2zhh5zgqgr4wg&amp;dl=0","Click to download SizeChart")</f>
      </c>
      <c r="C3464" s="0" t="inlineStr">
        <is>
          <t>Kellen Men's Polo</t>
        </is>
      </c>
      <c r="D3464" s="1">
        <v>97087</v>
      </c>
      <c r="E3464" s="0" t="inlineStr">
        <is>
          <t>KELLEN:97087F-3XL</t>
        </is>
      </c>
      <c r="G3464" s="0" t="inlineStr">
        <is>
          <t>MENS</t>
        </is>
      </c>
      <c r="H3464" s="0" t="inlineStr">
        <is>
          <t>3XL</t>
        </is>
      </c>
      <c r="I3464" s="0">
        <v>46.99</v>
      </c>
      <c r="J3464" s="0">
        <v>9</v>
      </c>
    </row>
    <row r="3465" spans="1:10" customHeight="0">
      <c r="A3465" s="0">
        <f>HYPERLINK("https://dl.dropboxusercontent.com/scl/fi/58gi6eb9veh79srnosrwb/adeline.jpg?rlkey=fsh7roclom5rx2thief1le2t5&amp;dl=0","Click to download Image")</f>
      </c>
      <c r="C3465" s="0" t="inlineStr">
        <is>
          <t>Adeline Fringe Top</t>
        </is>
      </c>
      <c r="D3465" s="1">
        <v>97148</v>
      </c>
      <c r="E3465" s="0" t="inlineStr">
        <is>
          <t>ADELINE:97148A-S</t>
        </is>
      </c>
      <c r="G3465" s="0" t="inlineStr">
        <is>
          <t>WOMENS</t>
        </is>
      </c>
      <c r="H3465" s="0" t="inlineStr">
        <is>
          <t>S</t>
        </is>
      </c>
      <c r="I3465" s="0">
        <v>44.99</v>
      </c>
      <c r="J3465" s="0">
        <v>53</v>
      </c>
    </row>
    <row r="3466" spans="1:10" customHeight="0">
      <c r="A3466" s="0">
        <f>HYPERLINK("https://dl.dropboxusercontent.com/scl/fi/58gi6eb9veh79srnosrwb/adeline.jpg?rlkey=fsh7roclom5rx2thief1le2t5&amp;dl=0","Click to download Image")</f>
      </c>
      <c r="C3466" s="0" t="inlineStr">
        <is>
          <t>Adeline Fringe Top</t>
        </is>
      </c>
      <c r="D3466" s="1">
        <v>97148</v>
      </c>
      <c r="E3466" s="0" t="inlineStr">
        <is>
          <t>ADELINE:97148B-M</t>
        </is>
      </c>
      <c r="G3466" s="0" t="inlineStr">
        <is>
          <t>WOMENS</t>
        </is>
      </c>
      <c r="H3466" s="0" t="inlineStr">
        <is>
          <t>M</t>
        </is>
      </c>
      <c r="I3466" s="0">
        <v>44.99</v>
      </c>
      <c r="J3466" s="0">
        <v>73</v>
      </c>
    </row>
    <row r="3467" spans="1:10" customHeight="0">
      <c r="A3467" s="0">
        <f>HYPERLINK("https://dl.dropboxusercontent.com/scl/fi/58gi6eb9veh79srnosrwb/adeline.jpg?rlkey=fsh7roclom5rx2thief1le2t5&amp;dl=0","Click to download Image")</f>
      </c>
      <c r="C3467" s="0" t="inlineStr">
        <is>
          <t>Adeline Fringe Top</t>
        </is>
      </c>
      <c r="D3467" s="1">
        <v>97148</v>
      </c>
      <c r="E3467" s="0" t="inlineStr">
        <is>
          <t>ADELINE:97148C-L</t>
        </is>
      </c>
      <c r="G3467" s="0" t="inlineStr">
        <is>
          <t>WOMENS</t>
        </is>
      </c>
      <c r="H3467" s="0" t="inlineStr">
        <is>
          <t>L</t>
        </is>
      </c>
      <c r="I3467" s="0">
        <v>44.99</v>
      </c>
      <c r="J3467" s="0">
        <v>140</v>
      </c>
    </row>
    <row r="3468" spans="1:10" customHeight="0">
      <c r="A3468" s="0">
        <f>HYPERLINK("https://dl.dropboxusercontent.com/scl/fi/58gi6eb9veh79srnosrwb/adeline.jpg?rlkey=fsh7roclom5rx2thief1le2t5&amp;dl=0","Click to download Image")</f>
      </c>
      <c r="C3468" s="0" t="inlineStr">
        <is>
          <t>Adeline Fringe Top</t>
        </is>
      </c>
      <c r="D3468" s="1">
        <v>97148</v>
      </c>
      <c r="E3468" s="0" t="inlineStr">
        <is>
          <t>ADELINE:97148D-XL</t>
        </is>
      </c>
      <c r="G3468" s="0" t="inlineStr">
        <is>
          <t>WOMENS</t>
        </is>
      </c>
      <c r="H3468" s="0" t="inlineStr">
        <is>
          <t>XL</t>
        </is>
      </c>
      <c r="I3468" s="0">
        <v>44.99</v>
      </c>
      <c r="J3468" s="0">
        <v>144</v>
      </c>
    </row>
    <row r="3469" spans="1:10" customHeight="0">
      <c r="A3469" s="0">
        <f>HYPERLINK("https://dl.dropboxusercontent.com/scl/fi/58gi6eb9veh79srnosrwb/adeline.jpg?rlkey=fsh7roclom5rx2thief1le2t5&amp;dl=0","Click to download Image")</f>
      </c>
      <c r="C3469" s="0" t="inlineStr">
        <is>
          <t>Adeline Fringe Top</t>
        </is>
      </c>
      <c r="D3469" s="1">
        <v>97148</v>
      </c>
      <c r="E3469" s="0" t="inlineStr">
        <is>
          <t>ADELINE:97148E-2XL</t>
        </is>
      </c>
      <c r="G3469" s="0" t="inlineStr">
        <is>
          <t>WOMENS</t>
        </is>
      </c>
      <c r="H3469" s="0" t="inlineStr">
        <is>
          <t>2XL</t>
        </is>
      </c>
      <c r="I3469" s="0">
        <v>46.99</v>
      </c>
      <c r="J3469" s="0">
        <v>54</v>
      </c>
    </row>
    <row r="3470" spans="1:10" customHeight="0">
      <c r="A3470" s="0">
        <f>HYPERLINK("https://dl.dropboxusercontent.com/scl/fi/41vgkju9v85yvq4hhu8ti/jace.jpg?rlkey=7jhwqdy9ka3e3ffd3y05csswp&amp;dl=0","Click to download Image")</f>
      </c>
      <c r="B3470" s="0">
        <f>HYPERLINK("https://dl.dropboxusercontent.com/scl/fi/c9l1x9fin4dxn7lm5amhk/mens-e-1.jpg?rlkey=ga2bqknvwbmgpfkqad9hotdr4&amp;dl=0","Click to download SizeChart")</f>
      </c>
      <c r="C3470" s="0" t="inlineStr">
        <is>
          <t>Jayden Men's Henley</t>
        </is>
      </c>
      <c r="D3470" s="1">
        <v>97030</v>
      </c>
      <c r="E3470" s="0" t="inlineStr">
        <is>
          <t>JAYDEN:97030A-S</t>
        </is>
      </c>
      <c r="G3470" s="0" t="inlineStr">
        <is>
          <t>MENS</t>
        </is>
      </c>
      <c r="H3470" s="0" t="inlineStr">
        <is>
          <t>S</t>
        </is>
      </c>
      <c r="I3470" s="0">
        <v>44.99</v>
      </c>
      <c r="J3470" s="0">
        <v>27</v>
      </c>
    </row>
    <row r="3471" spans="1:10" customHeight="0">
      <c r="A3471" s="0">
        <f>HYPERLINK("https://dl.dropboxusercontent.com/scl/fi/41vgkju9v85yvq4hhu8ti/jace.jpg?rlkey=7jhwqdy9ka3e3ffd3y05csswp&amp;dl=0","Click to download Image")</f>
      </c>
      <c r="B3471" s="0">
        <f>HYPERLINK("https://dl.dropboxusercontent.com/scl/fi/c9l1x9fin4dxn7lm5amhk/mens-e-1.jpg?rlkey=ga2bqknvwbmgpfkqad9hotdr4&amp;dl=0","Click to download SizeChart")</f>
      </c>
      <c r="C3471" s="0" t="inlineStr">
        <is>
          <t>Jayden Men's Henley</t>
        </is>
      </c>
      <c r="D3471" s="1">
        <v>97030</v>
      </c>
      <c r="E3471" s="0" t="inlineStr">
        <is>
          <t>JAYDEN:97030B-M</t>
        </is>
      </c>
      <c r="G3471" s="0" t="inlineStr">
        <is>
          <t>MENS</t>
        </is>
      </c>
      <c r="H3471" s="0" t="inlineStr">
        <is>
          <t>M</t>
        </is>
      </c>
      <c r="I3471" s="0">
        <v>44.99</v>
      </c>
      <c r="J3471" s="0">
        <v>44</v>
      </c>
    </row>
    <row r="3472" spans="1:10" customHeight="0">
      <c r="A3472" s="0">
        <f>HYPERLINK("https://dl.dropboxusercontent.com/scl/fi/41vgkju9v85yvq4hhu8ti/jace.jpg?rlkey=7jhwqdy9ka3e3ffd3y05csswp&amp;dl=0","Click to download Image")</f>
      </c>
      <c r="B3472" s="0">
        <f>HYPERLINK("https://dl.dropboxusercontent.com/scl/fi/c9l1x9fin4dxn7lm5amhk/mens-e-1.jpg?rlkey=ga2bqknvwbmgpfkqad9hotdr4&amp;dl=0","Click to download SizeChart")</f>
      </c>
      <c r="C3472" s="0" t="inlineStr">
        <is>
          <t>Jayden Men's Henley</t>
        </is>
      </c>
      <c r="D3472" s="1">
        <v>97030</v>
      </c>
      <c r="E3472" s="0" t="inlineStr">
        <is>
          <t>JAYDEN:97030C-L</t>
        </is>
      </c>
      <c r="G3472" s="0" t="inlineStr">
        <is>
          <t>MENS</t>
        </is>
      </c>
      <c r="H3472" s="0" t="inlineStr">
        <is>
          <t>L</t>
        </is>
      </c>
      <c r="I3472" s="0">
        <v>44.99</v>
      </c>
      <c r="J3472" s="0">
        <v>76</v>
      </c>
    </row>
    <row r="3473" spans="1:10" customHeight="0">
      <c r="A3473" s="0">
        <f>HYPERLINK("https://dl.dropboxusercontent.com/scl/fi/41vgkju9v85yvq4hhu8ti/jace.jpg?rlkey=7jhwqdy9ka3e3ffd3y05csswp&amp;dl=0","Click to download Image")</f>
      </c>
      <c r="B3473" s="0">
        <f>HYPERLINK("https://dl.dropboxusercontent.com/scl/fi/c9l1x9fin4dxn7lm5amhk/mens-e-1.jpg?rlkey=ga2bqknvwbmgpfkqad9hotdr4&amp;dl=0","Click to download SizeChart")</f>
      </c>
      <c r="C3473" s="0" t="inlineStr">
        <is>
          <t>Jayden Men's Henley</t>
        </is>
      </c>
      <c r="D3473" s="1">
        <v>97030</v>
      </c>
      <c r="E3473" s="0" t="inlineStr">
        <is>
          <t>JAYDEN:97030D-XL</t>
        </is>
      </c>
      <c r="G3473" s="0" t="inlineStr">
        <is>
          <t>MENS</t>
        </is>
      </c>
      <c r="H3473" s="0" t="inlineStr">
        <is>
          <t>XL</t>
        </is>
      </c>
      <c r="I3473" s="0">
        <v>44.99</v>
      </c>
      <c r="J3473" s="0">
        <v>66</v>
      </c>
    </row>
    <row r="3474" spans="1:10" customHeight="0">
      <c r="A3474" s="0">
        <f>HYPERLINK("https://dl.dropboxusercontent.com/scl/fi/41vgkju9v85yvq4hhu8ti/jace.jpg?rlkey=7jhwqdy9ka3e3ffd3y05csswp&amp;dl=0","Click to download Image")</f>
      </c>
      <c r="B3474" s="0">
        <f>HYPERLINK("https://dl.dropboxusercontent.com/scl/fi/c9l1x9fin4dxn7lm5amhk/mens-e-1.jpg?rlkey=ga2bqknvwbmgpfkqad9hotdr4&amp;dl=0","Click to download SizeChart")</f>
      </c>
      <c r="C3474" s="0" t="inlineStr">
        <is>
          <t>Jayden Men's Henley</t>
        </is>
      </c>
      <c r="D3474" s="1">
        <v>97030</v>
      </c>
      <c r="E3474" s="0" t="inlineStr">
        <is>
          <t>JAYDEN:97030E-2XL</t>
        </is>
      </c>
      <c r="G3474" s="0" t="inlineStr">
        <is>
          <t>MENS</t>
        </is>
      </c>
      <c r="H3474" s="0" t="inlineStr">
        <is>
          <t>2XL</t>
        </is>
      </c>
      <c r="I3474" s="0">
        <v>46.99</v>
      </c>
      <c r="J3474" s="0">
        <v>39</v>
      </c>
    </row>
    <row r="3475" spans="1:10" customHeight="0">
      <c r="A3475" s="0">
        <f>HYPERLINK("https://dl.dropboxusercontent.com/scl/fi/41vgkju9v85yvq4hhu8ti/jace.jpg?rlkey=7jhwqdy9ka3e3ffd3y05csswp&amp;dl=0","Click to download Image")</f>
      </c>
      <c r="B3475" s="0">
        <f>HYPERLINK("https://dl.dropboxusercontent.com/scl/fi/c9l1x9fin4dxn7lm5amhk/mens-e-1.jpg?rlkey=ga2bqknvwbmgpfkqad9hotdr4&amp;dl=0","Click to download SizeChart")</f>
      </c>
      <c r="C3475" s="0" t="inlineStr">
        <is>
          <t>Jayden Men's Henley</t>
        </is>
      </c>
      <c r="D3475" s="1">
        <v>97030</v>
      </c>
      <c r="E3475" s="0" t="inlineStr">
        <is>
          <t>JAYDEN:97030F-3XL</t>
        </is>
      </c>
      <c r="G3475" s="0" t="inlineStr">
        <is>
          <t>MENS</t>
        </is>
      </c>
      <c r="H3475" s="0" t="inlineStr">
        <is>
          <t>3XL</t>
        </is>
      </c>
      <c r="I3475" s="0">
        <v>46.99</v>
      </c>
      <c r="J3475" s="0">
        <v>14</v>
      </c>
    </row>
    <row r="3476" spans="1:10" customHeight="0">
      <c r="A3476" s="0">
        <f>HYPERLINK("https://dl.dropboxusercontent.com/scl/fi/0x4gojybcgw5qn5wgj2ml/brier.jpg?rlkey=5x66lcll12f8lzy2j38sgfiv0&amp;dl=0","Click to download Image")</f>
      </c>
      <c r="C3476" s="0" t="inlineStr">
        <is>
          <t>Brier Youth Long Sleeve</t>
        </is>
      </c>
      <c r="D3476" s="1">
        <v>98343</v>
      </c>
      <c r="E3476" s="0" t="inlineStr">
        <is>
          <t>BRIER:98343A-S</t>
        </is>
      </c>
      <c r="G3476" s="0" t="inlineStr">
        <is>
          <t>YOUTH</t>
        </is>
      </c>
      <c r="H3476" s="0" t="inlineStr">
        <is>
          <t>YS</t>
        </is>
      </c>
      <c r="I3476" s="0">
        <v>32.99</v>
      </c>
      <c r="J3476" s="0">
        <v>49</v>
      </c>
    </row>
    <row r="3477" spans="1:10" customHeight="0">
      <c r="A3477" s="0">
        <f>HYPERLINK("https://dl.dropboxusercontent.com/scl/fi/0x4gojybcgw5qn5wgj2ml/brier.jpg?rlkey=5x66lcll12f8lzy2j38sgfiv0&amp;dl=0","Click to download Image")</f>
      </c>
      <c r="C3477" s="0" t="inlineStr">
        <is>
          <t>Brier Youth Long Sleeve</t>
        </is>
      </c>
      <c r="D3477" s="1">
        <v>98343</v>
      </c>
      <c r="E3477" s="0" t="inlineStr">
        <is>
          <t>BRIER:98343B-M</t>
        </is>
      </c>
      <c r="G3477" s="0" t="inlineStr">
        <is>
          <t>YOUTH</t>
        </is>
      </c>
      <c r="H3477" s="0" t="inlineStr">
        <is>
          <t>YM</t>
        </is>
      </c>
      <c r="I3477" s="0">
        <v>32.99</v>
      </c>
      <c r="J3477" s="0">
        <v>41</v>
      </c>
    </row>
    <row r="3478" spans="1:10" customHeight="0">
      <c r="A3478" s="0">
        <f>HYPERLINK("https://dl.dropboxusercontent.com/scl/fi/0x4gojybcgw5qn5wgj2ml/brier.jpg?rlkey=5x66lcll12f8lzy2j38sgfiv0&amp;dl=0","Click to download Image")</f>
      </c>
      <c r="C3478" s="0" t="inlineStr">
        <is>
          <t>Brier Youth Long Sleeve</t>
        </is>
      </c>
      <c r="D3478" s="1">
        <v>98343</v>
      </c>
      <c r="E3478" s="0" t="inlineStr">
        <is>
          <t>BRIER:98343C-L</t>
        </is>
      </c>
      <c r="G3478" s="0" t="inlineStr">
        <is>
          <t>YOUTH</t>
        </is>
      </c>
      <c r="H3478" s="0" t="inlineStr">
        <is>
          <t>YL</t>
        </is>
      </c>
      <c r="I3478" s="0">
        <v>32.99</v>
      </c>
      <c r="J3478" s="0">
        <v>40</v>
      </c>
    </row>
    <row r="3479" spans="1:10" customHeight="0">
      <c r="A3479" s="0">
        <f>HYPERLINK("https://dl.dropboxusercontent.com/scl/fi/0x4gojybcgw5qn5wgj2ml/brier.jpg?rlkey=5x66lcll12f8lzy2j38sgfiv0&amp;dl=0","Click to download Image")</f>
      </c>
      <c r="C3479" s="0" t="inlineStr">
        <is>
          <t>Brier Youth Long Sleeve</t>
        </is>
      </c>
      <c r="D3479" s="1">
        <v>98343</v>
      </c>
      <c r="E3479" s="0" t="inlineStr">
        <is>
          <t>BRIER:98343D-XL</t>
        </is>
      </c>
      <c r="G3479" s="0" t="inlineStr">
        <is>
          <t>YOUTH</t>
        </is>
      </c>
      <c r="H3479" s="0" t="inlineStr">
        <is>
          <t>YXL</t>
        </is>
      </c>
      <c r="I3479" s="0">
        <v>32.99</v>
      </c>
      <c r="J3479" s="0">
        <v>51</v>
      </c>
    </row>
    <row r="3480" spans="1:10" customHeight="0">
      <c r="A3480" s="0">
        <f>HYPERLINK("https://dl.dropboxusercontent.com/scl/fi/zgpn4qy0ywsoawv8im268/keegan.jpg?rlkey=x2tjip60kktvg64ve2i2926mp&amp;dl=0","Click to download Image")</f>
      </c>
      <c r="B3480" s="0">
        <f>HYPERLINK("https://dl.dropboxusercontent.com/scl/fi/b55rfyplceykxldgxjnqt/size-chartyouth-f.jpg?rlkey=qwosub8xn2b6npcf0c77sks2q&amp;dl=0","Click to download SizeChart")</f>
      </c>
      <c r="C3480" s="0" t="inlineStr">
        <is>
          <t>Keegan Youth 3/4 Sleeve Shirt</t>
        </is>
      </c>
      <c r="D3480" s="1">
        <v>99832</v>
      </c>
      <c r="E3480" s="0" t="inlineStr">
        <is>
          <t>KEEGAN:99832A-S</t>
        </is>
      </c>
      <c r="G3480" s="0" t="inlineStr">
        <is>
          <t>YOUTH</t>
        </is>
      </c>
      <c r="H3480" s="0" t="inlineStr">
        <is>
          <t>YS</t>
        </is>
      </c>
      <c r="I3480" s="0">
        <v>34.99</v>
      </c>
      <c r="J3480" s="0">
        <v>85</v>
      </c>
    </row>
    <row r="3481" spans="1:10" customHeight="0">
      <c r="A3481" s="0">
        <f>HYPERLINK("https://dl.dropboxusercontent.com/scl/fi/zgpn4qy0ywsoawv8im268/keegan.jpg?rlkey=x2tjip60kktvg64ve2i2926mp&amp;dl=0","Click to download Image")</f>
      </c>
      <c r="B3481" s="0">
        <f>HYPERLINK("https://dl.dropboxusercontent.com/scl/fi/b55rfyplceykxldgxjnqt/size-chartyouth-f.jpg?rlkey=qwosub8xn2b6npcf0c77sks2q&amp;dl=0","Click to download SizeChart")</f>
      </c>
      <c r="C3481" s="0" t="inlineStr">
        <is>
          <t>Keegan Youth 3/4 Sleeve Shirt</t>
        </is>
      </c>
      <c r="D3481" s="1">
        <v>99832</v>
      </c>
      <c r="E3481" s="0" t="inlineStr">
        <is>
          <t>KEEGAN:99832B-M</t>
        </is>
      </c>
      <c r="G3481" s="0" t="inlineStr">
        <is>
          <t>YOUTH</t>
        </is>
      </c>
      <c r="H3481" s="0" t="inlineStr">
        <is>
          <t>YM</t>
        </is>
      </c>
      <c r="I3481" s="0">
        <v>34.99</v>
      </c>
      <c r="J3481" s="0">
        <v>87</v>
      </c>
    </row>
    <row r="3482" spans="1:10" customHeight="0">
      <c r="A3482" s="0">
        <f>HYPERLINK("https://dl.dropboxusercontent.com/scl/fi/zgpn4qy0ywsoawv8im268/keegan.jpg?rlkey=x2tjip60kktvg64ve2i2926mp&amp;dl=0","Click to download Image")</f>
      </c>
      <c r="B3482" s="0">
        <f>HYPERLINK("https://dl.dropboxusercontent.com/scl/fi/b55rfyplceykxldgxjnqt/size-chartyouth-f.jpg?rlkey=qwosub8xn2b6npcf0c77sks2q&amp;dl=0","Click to download SizeChart")</f>
      </c>
      <c r="C3482" s="0" t="inlineStr">
        <is>
          <t>Keegan Youth 3/4 Sleeve Shirt</t>
        </is>
      </c>
      <c r="D3482" s="1">
        <v>99832</v>
      </c>
      <c r="E3482" s="0" t="inlineStr">
        <is>
          <t>KEEGAN:99832C-L</t>
        </is>
      </c>
      <c r="G3482" s="0" t="inlineStr">
        <is>
          <t>YOUTH</t>
        </is>
      </c>
      <c r="H3482" s="0" t="inlineStr">
        <is>
          <t>YL</t>
        </is>
      </c>
      <c r="I3482" s="0">
        <v>34.99</v>
      </c>
      <c r="J3482" s="0">
        <v>94</v>
      </c>
    </row>
    <row r="3483" spans="1:10" customHeight="0">
      <c r="A3483" s="0">
        <f>HYPERLINK("https://dl.dropboxusercontent.com/scl/fi/zgpn4qy0ywsoawv8im268/keegan.jpg?rlkey=x2tjip60kktvg64ve2i2926mp&amp;dl=0","Click to download Image")</f>
      </c>
      <c r="B3483" s="0">
        <f>HYPERLINK("https://dl.dropboxusercontent.com/scl/fi/b55rfyplceykxldgxjnqt/size-chartyouth-f.jpg?rlkey=qwosub8xn2b6npcf0c77sks2q&amp;dl=0","Click to download SizeChart")</f>
      </c>
      <c r="C3483" s="0" t="inlineStr">
        <is>
          <t>Keegan Youth 3/4 Sleeve Shirt</t>
        </is>
      </c>
      <c r="D3483" s="1">
        <v>99832</v>
      </c>
      <c r="E3483" s="0" t="inlineStr">
        <is>
          <t>KEEGAN:99832D-XL</t>
        </is>
      </c>
      <c r="G3483" s="0" t="inlineStr">
        <is>
          <t>YOUTH</t>
        </is>
      </c>
      <c r="H3483" s="0" t="inlineStr">
        <is>
          <t>YXL</t>
        </is>
      </c>
      <c r="I3483" s="0">
        <v>34.99</v>
      </c>
      <c r="J3483" s="0">
        <v>96</v>
      </c>
    </row>
    <row r="3484" spans="1:10" customHeight="0">
      <c r="A3484" s="0">
        <f>HYPERLINK("https://dl.dropboxusercontent.com/scl/fi/qpufr2t4jxm7lqkikkcgm/dasht.jpg?rlkey=bwzdbcc92hboezqvxwg6tivu8&amp;dl=0","Click to download Image")</f>
      </c>
      <c r="B3484" s="0">
        <f>HYPERLINK("https://dl.dropboxusercontent.com/scl/fi/18ljhg3dlvbqipll6155w/size-chart-ladies-k.jpg?rlkey=d6wn2h20pjzwp4xdk83fnktjp&amp;dl=0","Click to download SizeChart")</f>
      </c>
      <c r="C3484" s="0" t="inlineStr">
        <is>
          <t>Dash Women's Athletic Shorts</t>
        </is>
      </c>
      <c r="D3484" s="1">
        <v>94521</v>
      </c>
      <c r="E3484" s="0" t="inlineStr">
        <is>
          <t>DASH SHORTS:94521A-S</t>
        </is>
      </c>
      <c r="G3484" s="0" t="inlineStr">
        <is>
          <t>WOMENS</t>
        </is>
      </c>
      <c r="H3484" s="0" t="inlineStr">
        <is>
          <t>S</t>
        </is>
      </c>
      <c r="I3484" s="0">
        <v>22.99</v>
      </c>
      <c r="J3484" s="0">
        <v>5</v>
      </c>
    </row>
    <row r="3485" spans="1:10" customHeight="0">
      <c r="A3485" s="0">
        <f>HYPERLINK("https://dl.dropboxusercontent.com/scl/fi/qpufr2t4jxm7lqkikkcgm/dasht.jpg?rlkey=bwzdbcc92hboezqvxwg6tivu8&amp;dl=0","Click to download Image")</f>
      </c>
      <c r="B3485" s="0">
        <f>HYPERLINK("https://dl.dropboxusercontent.com/scl/fi/18ljhg3dlvbqipll6155w/size-chart-ladies-k.jpg?rlkey=d6wn2h20pjzwp4xdk83fnktjp&amp;dl=0","Click to download SizeChart")</f>
      </c>
      <c r="C3485" s="0" t="inlineStr">
        <is>
          <t>Dash Women's Athletic Shorts</t>
        </is>
      </c>
      <c r="D3485" s="1">
        <v>94521</v>
      </c>
      <c r="E3485" s="0" t="inlineStr">
        <is>
          <t>DASH SHORTS:94521B-M</t>
        </is>
      </c>
      <c r="G3485" s="0" t="inlineStr">
        <is>
          <t>WOMENS</t>
        </is>
      </c>
      <c r="H3485" s="0" t="inlineStr">
        <is>
          <t>M</t>
        </is>
      </c>
      <c r="I3485" s="0">
        <v>22.99</v>
      </c>
      <c r="J3485" s="0">
        <v>15</v>
      </c>
    </row>
    <row r="3486" spans="1:10" customHeight="0">
      <c r="A3486" s="0">
        <f>HYPERLINK("https://dl.dropboxusercontent.com/scl/fi/qpufr2t4jxm7lqkikkcgm/dasht.jpg?rlkey=bwzdbcc92hboezqvxwg6tivu8&amp;dl=0","Click to download Image")</f>
      </c>
      <c r="B3486" s="0">
        <f>HYPERLINK("https://dl.dropboxusercontent.com/scl/fi/18ljhg3dlvbqipll6155w/size-chart-ladies-k.jpg?rlkey=d6wn2h20pjzwp4xdk83fnktjp&amp;dl=0","Click to download SizeChart")</f>
      </c>
      <c r="C3486" s="0" t="inlineStr">
        <is>
          <t>Dash Women's Athletic Shorts</t>
        </is>
      </c>
      <c r="D3486" s="1">
        <v>94521</v>
      </c>
      <c r="E3486" s="0" t="inlineStr">
        <is>
          <t>DASH SHORTS:94521C-L</t>
        </is>
      </c>
      <c r="G3486" s="0" t="inlineStr">
        <is>
          <t>WOMENS</t>
        </is>
      </c>
      <c r="H3486" s="0" t="inlineStr">
        <is>
          <t>L</t>
        </is>
      </c>
      <c r="I3486" s="0">
        <v>22.99</v>
      </c>
      <c r="J3486" s="0">
        <v>65</v>
      </c>
    </row>
    <row r="3487" spans="1:10" customHeight="0">
      <c r="A3487" s="0">
        <f>HYPERLINK("https://dl.dropboxusercontent.com/scl/fi/qpufr2t4jxm7lqkikkcgm/dasht.jpg?rlkey=bwzdbcc92hboezqvxwg6tivu8&amp;dl=0","Click to download Image")</f>
      </c>
      <c r="B3487" s="0">
        <f>HYPERLINK("https://dl.dropboxusercontent.com/scl/fi/18ljhg3dlvbqipll6155w/size-chart-ladies-k.jpg?rlkey=d6wn2h20pjzwp4xdk83fnktjp&amp;dl=0","Click to download SizeChart")</f>
      </c>
      <c r="C3487" s="0" t="inlineStr">
        <is>
          <t>Dash Women's Athletic Shorts</t>
        </is>
      </c>
      <c r="D3487" s="1">
        <v>94521</v>
      </c>
      <c r="E3487" s="0" t="inlineStr">
        <is>
          <t>DASH SHORTS:94521D-XL</t>
        </is>
      </c>
      <c r="G3487" s="0" t="inlineStr">
        <is>
          <t>WOMENS</t>
        </is>
      </c>
      <c r="H3487" s="0" t="inlineStr">
        <is>
          <t>XL</t>
        </is>
      </c>
      <c r="I3487" s="0">
        <v>22.99</v>
      </c>
      <c r="J3487" s="0">
        <v>87</v>
      </c>
    </row>
    <row r="3488" spans="1:10" customHeight="0">
      <c r="A3488" s="0">
        <f>HYPERLINK("https://dl.dropboxusercontent.com/scl/fi/qpufr2t4jxm7lqkikkcgm/dasht.jpg?rlkey=bwzdbcc92hboezqvxwg6tivu8&amp;dl=0","Click to download Image")</f>
      </c>
      <c r="B3488" s="0">
        <f>HYPERLINK("https://dl.dropboxusercontent.com/scl/fi/18ljhg3dlvbqipll6155w/size-chart-ladies-k.jpg?rlkey=d6wn2h20pjzwp4xdk83fnktjp&amp;dl=0","Click to download SizeChart")</f>
      </c>
      <c r="C3488" s="0" t="inlineStr">
        <is>
          <t>Dash Women's Athletic Shorts</t>
        </is>
      </c>
      <c r="D3488" s="1">
        <v>94521</v>
      </c>
      <c r="E3488" s="0" t="inlineStr">
        <is>
          <t>DASH SHORTS:94521E-2XL</t>
        </is>
      </c>
      <c r="G3488" s="0" t="inlineStr">
        <is>
          <t>WOMENS</t>
        </is>
      </c>
      <c r="H3488" s="0" t="inlineStr">
        <is>
          <t>2XL</t>
        </is>
      </c>
      <c r="I3488" s="0">
        <v>24.99</v>
      </c>
      <c r="J3488" s="0">
        <v>16</v>
      </c>
    </row>
    <row r="3489" spans="1:10" customHeight="0">
      <c r="A3489" s="0">
        <f>HYPERLINK("https://dl.dropboxusercontent.com/scl/fi/8vxijqm5wtan7dwt6w9xw/intensityt.jpg?rlkey=uaml2mctjlyrb5fq8lyzwouqy&amp;dl=0","Click to download Image")</f>
      </c>
      <c r="B3489" s="0">
        <f>HYPERLINK("https://dl.dropboxusercontent.com/scl/fi/kp73s412nftp6yonzvtf4/size-chart-ladies-k.jpg?rlkey=biggwau0xayno3ykx6qzw72i3&amp;dl=0","Click to download SizeChart")</f>
      </c>
      <c r="C3489" s="0" t="inlineStr">
        <is>
          <t>Intensity Women's Athletic Shorts</t>
        </is>
      </c>
      <c r="D3489" s="1">
        <v>94566</v>
      </c>
      <c r="E3489" s="0" t="inlineStr">
        <is>
          <t>INTENSITY SHORTS:94566A-S</t>
        </is>
      </c>
      <c r="G3489" s="0" t="inlineStr">
        <is>
          <t>WOMENS</t>
        </is>
      </c>
      <c r="H3489" s="0" t="inlineStr">
        <is>
          <t>S</t>
        </is>
      </c>
      <c r="I3489" s="0">
        <v>22.99</v>
      </c>
      <c r="J3489" s="0">
        <v>14</v>
      </c>
    </row>
    <row r="3490" spans="1:10" customHeight="0">
      <c r="A3490" s="0">
        <f>HYPERLINK("https://dl.dropboxusercontent.com/scl/fi/8vxijqm5wtan7dwt6w9xw/intensityt.jpg?rlkey=uaml2mctjlyrb5fq8lyzwouqy&amp;dl=0","Click to download Image")</f>
      </c>
      <c r="B3490" s="0">
        <f>HYPERLINK("https://dl.dropboxusercontent.com/scl/fi/kp73s412nftp6yonzvtf4/size-chart-ladies-k.jpg?rlkey=biggwau0xayno3ykx6qzw72i3&amp;dl=0","Click to download SizeChart")</f>
      </c>
      <c r="C3490" s="0" t="inlineStr">
        <is>
          <t>Intensity Women's Athletic Shorts</t>
        </is>
      </c>
      <c r="D3490" s="1">
        <v>94566</v>
      </c>
      <c r="E3490" s="0" t="inlineStr">
        <is>
          <t>INTENSITY SHORTS:94566B-M</t>
        </is>
      </c>
      <c r="G3490" s="0" t="inlineStr">
        <is>
          <t>WOMENS</t>
        </is>
      </c>
      <c r="H3490" s="0" t="inlineStr">
        <is>
          <t>M</t>
        </is>
      </c>
      <c r="I3490" s="0">
        <v>22.99</v>
      </c>
      <c r="J3490" s="0">
        <v>21</v>
      </c>
    </row>
    <row r="3491" spans="1:10" customHeight="0">
      <c r="A3491" s="0">
        <f>HYPERLINK("https://dl.dropboxusercontent.com/scl/fi/8vxijqm5wtan7dwt6w9xw/intensityt.jpg?rlkey=uaml2mctjlyrb5fq8lyzwouqy&amp;dl=0","Click to download Image")</f>
      </c>
      <c r="B3491" s="0">
        <f>HYPERLINK("https://dl.dropboxusercontent.com/scl/fi/kp73s412nftp6yonzvtf4/size-chart-ladies-k.jpg?rlkey=biggwau0xayno3ykx6qzw72i3&amp;dl=0","Click to download SizeChart")</f>
      </c>
      <c r="C3491" s="0" t="inlineStr">
        <is>
          <t>Intensity Women's Athletic Shorts</t>
        </is>
      </c>
      <c r="D3491" s="1">
        <v>94566</v>
      </c>
      <c r="E3491" s="0" t="inlineStr">
        <is>
          <t>INTENSITY SHORTS:94566C-L</t>
        </is>
      </c>
      <c r="G3491" s="0" t="inlineStr">
        <is>
          <t>WOMENS</t>
        </is>
      </c>
      <c r="H3491" s="0" t="inlineStr">
        <is>
          <t>L</t>
        </is>
      </c>
      <c r="I3491" s="0">
        <v>22.99</v>
      </c>
      <c r="J3491" s="0">
        <v>102</v>
      </c>
    </row>
    <row r="3492" spans="1:10" customHeight="0">
      <c r="A3492" s="0">
        <f>HYPERLINK("https://dl.dropboxusercontent.com/scl/fi/8vxijqm5wtan7dwt6w9xw/intensityt.jpg?rlkey=uaml2mctjlyrb5fq8lyzwouqy&amp;dl=0","Click to download Image")</f>
      </c>
      <c r="B3492" s="0">
        <f>HYPERLINK("https://dl.dropboxusercontent.com/scl/fi/kp73s412nftp6yonzvtf4/size-chart-ladies-k.jpg?rlkey=biggwau0xayno3ykx6qzw72i3&amp;dl=0","Click to download SizeChart")</f>
      </c>
      <c r="C3492" s="0" t="inlineStr">
        <is>
          <t>Intensity Women's Athletic Shorts</t>
        </is>
      </c>
      <c r="D3492" s="1">
        <v>94566</v>
      </c>
      <c r="E3492" s="0" t="inlineStr">
        <is>
          <t>INTENSITY SHORTS:94566D-XL</t>
        </is>
      </c>
      <c r="G3492" s="0" t="inlineStr">
        <is>
          <t>WOMENS</t>
        </is>
      </c>
      <c r="H3492" s="0" t="inlineStr">
        <is>
          <t>XL</t>
        </is>
      </c>
      <c r="I3492" s="0">
        <v>22.99</v>
      </c>
      <c r="J3492" s="0">
        <v>108</v>
      </c>
    </row>
    <row r="3493" spans="1:10" customHeight="0">
      <c r="A3493" s="0">
        <f>HYPERLINK("https://dl.dropboxusercontent.com/scl/fi/8vxijqm5wtan7dwt6w9xw/intensityt.jpg?rlkey=uaml2mctjlyrb5fq8lyzwouqy&amp;dl=0","Click to download Image")</f>
      </c>
      <c r="B3493" s="0">
        <f>HYPERLINK("https://dl.dropboxusercontent.com/scl/fi/kp73s412nftp6yonzvtf4/size-chart-ladies-k.jpg?rlkey=biggwau0xayno3ykx6qzw72i3&amp;dl=0","Click to download SizeChart")</f>
      </c>
      <c r="C3493" s="0" t="inlineStr">
        <is>
          <t>Intensity Women's Athletic Shorts</t>
        </is>
      </c>
      <c r="D3493" s="1">
        <v>94566</v>
      </c>
      <c r="E3493" s="0" t="inlineStr">
        <is>
          <t>INTENSITY SHORTS:94566E-2XL</t>
        </is>
      </c>
      <c r="G3493" s="0" t="inlineStr">
        <is>
          <t>WOMENS</t>
        </is>
      </c>
      <c r="H3493" s="0" t="inlineStr">
        <is>
          <t>2XL</t>
        </is>
      </c>
      <c r="I3493" s="0">
        <v>24.99</v>
      </c>
      <c r="J3493" s="0">
        <v>40</v>
      </c>
    </row>
    <row r="3494" spans="1:10" customHeight="0">
      <c r="A3494" s="0">
        <f>HYPERLINK("https://dl.dropboxusercontent.com/scl/fi/xczech9tmjr1l92g0f658/2nd-sublimation.jpg?rlkey=wf9ndcp6q42nhuiqngidt0497&amp;dl=0","Click to download Image")</f>
      </c>
      <c r="C3494" s="0" t="inlineStr">
        <is>
          <t>Printed Reusable Face Mask 6pk</t>
        </is>
      </c>
      <c r="D3494" s="0" t="inlineStr">
        <is>
          <t>119456PK</t>
        </is>
      </c>
      <c r="E3494" s="0" t="inlineStr">
        <is>
          <t>IOWA PRINTED MASK:119456PK</t>
        </is>
      </c>
      <c r="I3494" s="0">
        <v>59.99</v>
      </c>
      <c r="J3494" s="0">
        <v>2048</v>
      </c>
    </row>
    <row r="3495" spans="1:10" customHeight="0">
      <c r="A3495" s="0">
        <f>HYPERLINK("https://dl.dropboxusercontent.com/scl/fi/93zwa0doz81rlc6gn99jm/kara.jpg?rlkey=lmdkcdjechrhqjv0jftf6ih65&amp;dl=0","Click to download Image")</f>
      </c>
      <c r="B3495" s="0">
        <f>HYPERLINK("https://dl.dropboxusercontent.com/scl/fi/3w9nka43hpzhmdb4hrqr8/womens-t-shirt-size-chartskylie.jpg?rlkey=r0ip0dxmy7by92bbbun0lhyn8&amp;dl=0","Click to download SizeChart")</f>
      </c>
      <c r="C3495" s="0" t="inlineStr">
        <is>
          <t>Kara Women's Long Sleeve Shirt</t>
        </is>
      </c>
      <c r="D3495" s="1">
        <v>95479</v>
      </c>
      <c r="E3495" s="0" t="inlineStr">
        <is>
          <t>KARA:95479A-S</t>
        </is>
      </c>
      <c r="G3495" s="0" t="inlineStr">
        <is>
          <t>WOMENS</t>
        </is>
      </c>
      <c r="H3495" s="0" t="inlineStr">
        <is>
          <t>S</t>
        </is>
      </c>
      <c r="I3495" s="0">
        <v>29.99</v>
      </c>
      <c r="J3495" s="0">
        <v>9</v>
      </c>
    </row>
    <row r="3496" spans="1:10" customHeight="0">
      <c r="A3496" s="0">
        <f>HYPERLINK("https://dl.dropboxusercontent.com/scl/fi/93zwa0doz81rlc6gn99jm/kara.jpg?rlkey=lmdkcdjechrhqjv0jftf6ih65&amp;dl=0","Click to download Image")</f>
      </c>
      <c r="B3496" s="0">
        <f>HYPERLINK("https://dl.dropboxusercontent.com/scl/fi/3w9nka43hpzhmdb4hrqr8/womens-t-shirt-size-chartskylie.jpg?rlkey=r0ip0dxmy7by92bbbun0lhyn8&amp;dl=0","Click to download SizeChart")</f>
      </c>
      <c r="C3496" s="0" t="inlineStr">
        <is>
          <t>Kara Women's Long Sleeve Shirt</t>
        </is>
      </c>
      <c r="D3496" s="1">
        <v>95479</v>
      </c>
      <c r="E3496" s="0" t="inlineStr">
        <is>
          <t>KARA:95479F-3X</t>
        </is>
      </c>
      <c r="G3496" s="0" t="inlineStr">
        <is>
          <t>WOMENS</t>
        </is>
      </c>
      <c r="H3496" s="0" t="inlineStr">
        <is>
          <t>3XL</t>
        </is>
      </c>
      <c r="I3496" s="0">
        <v>31.99</v>
      </c>
      <c r="J3496" s="0">
        <v>34</v>
      </c>
    </row>
    <row r="3497" spans="1:10" customHeight="0">
      <c r="A3497" s="0">
        <f>HYPERLINK("https://dl.dropboxusercontent.com/scl/fi/67japz25ykka4qetevw0k/ciaratr.jpg?rlkey=p6hymkhscnvkmv75z2ey4miil&amp;dl=0","Click to download Image")</f>
      </c>
      <c r="B3497" s="0">
        <f>HYPERLINK("https://dl.dropboxusercontent.com/scl/fi/xzhcloaepp8ovetzb7a99/size-chart-ladies-l.jpg?rlkey=vj1hoim68khcve6ageu6esm9l&amp;dl=0","Click to download SizeChart")</f>
      </c>
      <c r="C3497" s="0" t="inlineStr">
        <is>
          <t>Ciara Women's Leggings</t>
        </is>
      </c>
      <c r="D3497" s="1">
        <v>96448</v>
      </c>
      <c r="E3497" s="0" t="inlineStr">
        <is>
          <t>CIARA:96448A-S</t>
        </is>
      </c>
      <c r="G3497" s="0" t="inlineStr">
        <is>
          <t>WOMENS</t>
        </is>
      </c>
      <c r="H3497" s="0" t="inlineStr">
        <is>
          <t>S</t>
        </is>
      </c>
      <c r="I3497" s="0">
        <v>44.99</v>
      </c>
      <c r="J3497" s="0">
        <v>11</v>
      </c>
    </row>
    <row r="3498" spans="1:10" customHeight="0">
      <c r="A3498" s="0">
        <f>HYPERLINK("https://dl.dropboxusercontent.com/scl/fi/67japz25ykka4qetevw0k/ciaratr.jpg?rlkey=p6hymkhscnvkmv75z2ey4miil&amp;dl=0","Click to download Image")</f>
      </c>
      <c r="B3498" s="0">
        <f>HYPERLINK("https://dl.dropboxusercontent.com/scl/fi/xzhcloaepp8ovetzb7a99/size-chart-ladies-l.jpg?rlkey=vj1hoim68khcve6ageu6esm9l&amp;dl=0","Click to download SizeChart")</f>
      </c>
      <c r="C3498" s="0" t="inlineStr">
        <is>
          <t>Ciara Women's Leggings</t>
        </is>
      </c>
      <c r="D3498" s="1">
        <v>96448</v>
      </c>
      <c r="E3498" s="0" t="inlineStr">
        <is>
          <t>CIARA:96448B-M</t>
        </is>
      </c>
      <c r="G3498" s="0" t="inlineStr">
        <is>
          <t>WOMENS</t>
        </is>
      </c>
      <c r="H3498" s="0" t="inlineStr">
        <is>
          <t>M</t>
        </is>
      </c>
      <c r="I3498" s="0">
        <v>44.99</v>
      </c>
      <c r="J3498" s="0">
        <v>6</v>
      </c>
    </row>
    <row r="3499" spans="1:10" customHeight="0">
      <c r="A3499" s="0">
        <f>HYPERLINK("https://dl.dropboxusercontent.com/scl/fi/67japz25ykka4qetevw0k/ciaratr.jpg?rlkey=p6hymkhscnvkmv75z2ey4miil&amp;dl=0","Click to download Image")</f>
      </c>
      <c r="B3499" s="0">
        <f>HYPERLINK("https://dl.dropboxusercontent.com/scl/fi/xzhcloaepp8ovetzb7a99/size-chart-ladies-l.jpg?rlkey=vj1hoim68khcve6ageu6esm9l&amp;dl=0","Click to download SizeChart")</f>
      </c>
      <c r="C3499" s="0" t="inlineStr">
        <is>
          <t>Ciara Women's Leggings</t>
        </is>
      </c>
      <c r="D3499" s="1">
        <v>96448</v>
      </c>
      <c r="E3499" s="0" t="inlineStr">
        <is>
          <t>CIARA:96448C-L</t>
        </is>
      </c>
      <c r="G3499" s="0" t="inlineStr">
        <is>
          <t>WOMENS</t>
        </is>
      </c>
      <c r="H3499" s="0" t="inlineStr">
        <is>
          <t>L</t>
        </is>
      </c>
      <c r="I3499" s="0">
        <v>44.99</v>
      </c>
      <c r="J3499" s="0">
        <v>44</v>
      </c>
    </row>
    <row r="3500" spans="1:10" customHeight="0">
      <c r="A3500" s="0">
        <f>HYPERLINK("https://dl.dropboxusercontent.com/scl/fi/67japz25ykka4qetevw0k/ciaratr.jpg?rlkey=p6hymkhscnvkmv75z2ey4miil&amp;dl=0","Click to download Image")</f>
      </c>
      <c r="B3500" s="0">
        <f>HYPERLINK("https://dl.dropboxusercontent.com/scl/fi/xzhcloaepp8ovetzb7a99/size-chart-ladies-l.jpg?rlkey=vj1hoim68khcve6ageu6esm9l&amp;dl=0","Click to download SizeChart")</f>
      </c>
      <c r="C3500" s="0" t="inlineStr">
        <is>
          <t>Ciara Women's Leggings</t>
        </is>
      </c>
      <c r="D3500" s="1">
        <v>96448</v>
      </c>
      <c r="E3500" s="0" t="inlineStr">
        <is>
          <t>CIARA:96448D-XL</t>
        </is>
      </c>
      <c r="G3500" s="0" t="inlineStr">
        <is>
          <t>WOMENS</t>
        </is>
      </c>
      <c r="H3500" s="0" t="inlineStr">
        <is>
          <t>XL</t>
        </is>
      </c>
      <c r="I3500" s="0">
        <v>44.99</v>
      </c>
      <c r="J3500" s="0">
        <v>56</v>
      </c>
    </row>
    <row r="3501" spans="1:10" customHeight="0">
      <c r="A3501" s="0">
        <f>HYPERLINK("https://dl.dropboxusercontent.com/scl/fi/67japz25ykka4qetevw0k/ciaratr.jpg?rlkey=p6hymkhscnvkmv75z2ey4miil&amp;dl=0","Click to download Image")</f>
      </c>
      <c r="B3501" s="0">
        <f>HYPERLINK("https://dl.dropboxusercontent.com/scl/fi/xzhcloaepp8ovetzb7a99/size-chart-ladies-l.jpg?rlkey=vj1hoim68khcve6ageu6esm9l&amp;dl=0","Click to download SizeChart")</f>
      </c>
      <c r="C3501" s="0" t="inlineStr">
        <is>
          <t>Ciara Women's Leggings</t>
        </is>
      </c>
      <c r="D3501" s="1">
        <v>96448</v>
      </c>
      <c r="E3501" s="0" t="inlineStr">
        <is>
          <t>CIARA:96448E-2XL</t>
        </is>
      </c>
      <c r="G3501" s="0" t="inlineStr">
        <is>
          <t>WOMENS</t>
        </is>
      </c>
      <c r="H3501" s="0" t="inlineStr">
        <is>
          <t>2XL</t>
        </is>
      </c>
      <c r="I3501" s="0">
        <v>46.99</v>
      </c>
      <c r="J3501" s="0">
        <v>10</v>
      </c>
    </row>
    <row r="3502" spans="1:10" customHeight="0">
      <c r="A3502" s="0">
        <f>HYPERLINK("https://dl.dropboxusercontent.com/scl/fi/z963eixe39tcdu80qpe90/jennifer.jpg?rlkey=jd09rl0d1f0h2azebbf97lczr&amp;dl=0","Click to download Image")</f>
      </c>
      <c r="B3502" s="0">
        <f>HYPERLINK("https://dl.dropboxusercontent.com/scl/fi/8zm5tfnx3e2scxauy2a5o/size-chartswomens-standard-ankle-length-leggings.jpg?rlkey=zvtrz4l947itb1nn9h26agfyf&amp;dl=0","Click to download SizeChart")</f>
      </c>
      <c r="C3502" s="0" t="inlineStr">
        <is>
          <t>Jennifer Women's Leggings</t>
        </is>
      </c>
      <c r="D3502" s="1">
        <v>98672</v>
      </c>
      <c r="E3502" s="0" t="inlineStr">
        <is>
          <t>JENNIFER:98672A-S</t>
        </is>
      </c>
      <c r="G3502" s="0" t="inlineStr">
        <is>
          <t>WOMENS</t>
        </is>
      </c>
      <c r="H3502" s="0" t="inlineStr">
        <is>
          <t>S</t>
        </is>
      </c>
      <c r="I3502" s="0">
        <v>39.99</v>
      </c>
      <c r="J3502" s="0">
        <v>58</v>
      </c>
    </row>
    <row r="3503" spans="1:10" customHeight="0">
      <c r="A3503" s="0">
        <f>HYPERLINK("https://dl.dropboxusercontent.com/scl/fi/z963eixe39tcdu80qpe90/jennifer.jpg?rlkey=jd09rl0d1f0h2azebbf97lczr&amp;dl=0","Click to download Image")</f>
      </c>
      <c r="B3503" s="0">
        <f>HYPERLINK("https://dl.dropboxusercontent.com/scl/fi/8zm5tfnx3e2scxauy2a5o/size-chartswomens-standard-ankle-length-leggings.jpg?rlkey=zvtrz4l947itb1nn9h26agfyf&amp;dl=0","Click to download SizeChart")</f>
      </c>
      <c r="C3503" s="0" t="inlineStr">
        <is>
          <t>Jennifer Women's Leggings</t>
        </is>
      </c>
      <c r="D3503" s="1">
        <v>98672</v>
      </c>
      <c r="E3503" s="0" t="inlineStr">
        <is>
          <t>JENNIFER:98672B-M</t>
        </is>
      </c>
      <c r="G3503" s="0" t="inlineStr">
        <is>
          <t>WOMENS</t>
        </is>
      </c>
      <c r="H3503" s="0" t="inlineStr">
        <is>
          <t>M</t>
        </is>
      </c>
      <c r="I3503" s="0">
        <v>39.99</v>
      </c>
      <c r="J3503" s="0">
        <v>67</v>
      </c>
    </row>
    <row r="3504" spans="1:10" customHeight="0">
      <c r="A3504" s="0">
        <f>HYPERLINK("https://dl.dropboxusercontent.com/scl/fi/z963eixe39tcdu80qpe90/jennifer.jpg?rlkey=jd09rl0d1f0h2azebbf97lczr&amp;dl=0","Click to download Image")</f>
      </c>
      <c r="B3504" s="0">
        <f>HYPERLINK("https://dl.dropboxusercontent.com/scl/fi/8zm5tfnx3e2scxauy2a5o/size-chartswomens-standard-ankle-length-leggings.jpg?rlkey=zvtrz4l947itb1nn9h26agfyf&amp;dl=0","Click to download SizeChart")</f>
      </c>
      <c r="C3504" s="0" t="inlineStr">
        <is>
          <t>Jennifer Women's Leggings</t>
        </is>
      </c>
      <c r="D3504" s="1">
        <v>98672</v>
      </c>
      <c r="E3504" s="0" t="inlineStr">
        <is>
          <t>JENNIFER:98672C-L</t>
        </is>
      </c>
      <c r="G3504" s="0" t="inlineStr">
        <is>
          <t>WOMENS</t>
        </is>
      </c>
      <c r="H3504" s="0" t="inlineStr">
        <is>
          <t>L</t>
        </is>
      </c>
      <c r="I3504" s="0">
        <v>39.99</v>
      </c>
      <c r="J3504" s="0">
        <v>95</v>
      </c>
    </row>
    <row r="3505" spans="1:10" customHeight="0">
      <c r="A3505" s="0">
        <f>HYPERLINK("https://dl.dropboxusercontent.com/scl/fi/z963eixe39tcdu80qpe90/jennifer.jpg?rlkey=jd09rl0d1f0h2azebbf97lczr&amp;dl=0","Click to download Image")</f>
      </c>
      <c r="B3505" s="0">
        <f>HYPERLINK("https://dl.dropboxusercontent.com/scl/fi/8zm5tfnx3e2scxauy2a5o/size-chartswomens-standard-ankle-length-leggings.jpg?rlkey=zvtrz4l947itb1nn9h26agfyf&amp;dl=0","Click to download SizeChart")</f>
      </c>
      <c r="C3505" s="0" t="inlineStr">
        <is>
          <t>Jennifer Women's Leggings</t>
        </is>
      </c>
      <c r="D3505" s="1">
        <v>98672</v>
      </c>
      <c r="E3505" s="0" t="inlineStr">
        <is>
          <t>JENNIFER:98672D-XL</t>
        </is>
      </c>
      <c r="G3505" s="0" t="inlineStr">
        <is>
          <t>WOMENS</t>
        </is>
      </c>
      <c r="H3505" s="0" t="inlineStr">
        <is>
          <t>XL</t>
        </is>
      </c>
      <c r="I3505" s="0">
        <v>39.99</v>
      </c>
      <c r="J3505" s="0">
        <v>121</v>
      </c>
    </row>
    <row r="3506" spans="1:10" customHeight="0">
      <c r="A3506" s="0">
        <f>HYPERLINK("https://dl.dropboxusercontent.com/scl/fi/z963eixe39tcdu80qpe90/jennifer.jpg?rlkey=jd09rl0d1f0h2azebbf97lczr&amp;dl=0","Click to download Image")</f>
      </c>
      <c r="B3506" s="0">
        <f>HYPERLINK("https://dl.dropboxusercontent.com/scl/fi/8zm5tfnx3e2scxauy2a5o/size-chartswomens-standard-ankle-length-leggings.jpg?rlkey=zvtrz4l947itb1nn9h26agfyf&amp;dl=0","Click to download SizeChart")</f>
      </c>
      <c r="C3506" s="0" t="inlineStr">
        <is>
          <t>Jennifer Women's Leggings</t>
        </is>
      </c>
      <c r="D3506" s="1">
        <v>98672</v>
      </c>
      <c r="E3506" s="0" t="inlineStr">
        <is>
          <t>JENNIFER:98672E-2XL</t>
        </is>
      </c>
      <c r="G3506" s="0" t="inlineStr">
        <is>
          <t>WOMENS</t>
        </is>
      </c>
      <c r="H3506" s="0" t="inlineStr">
        <is>
          <t>2XL</t>
        </is>
      </c>
      <c r="I3506" s="0">
        <v>41.99</v>
      </c>
      <c r="J3506" s="0">
        <v>45</v>
      </c>
    </row>
    <row r="3507" spans="1:10" customHeight="0">
      <c r="A3507" s="0">
        <f>HYPERLINK("https://dl.dropboxusercontent.com/scl/fi/708u0davqelmesuon0bib/jeffery.jpg?rlkey=cas70vylt3cbb46wgxvnabyt3&amp;dl=0","Click to download Image")</f>
      </c>
      <c r="B3507" s="0">
        <f>HYPERLINK("https://dl.dropboxusercontent.com/scl/fi/5gqea4e7avsfkb7x6x57q/size-chartsmens-standard-relaxed-fit-tshirt.jpg?rlkey=pdk75szuskpqqbz9dld7e3q4c&amp;dl=0","Click to download SizeChart")</f>
      </c>
      <c r="C3507" s="0" t="inlineStr">
        <is>
          <t>Jeffery Men's 1/2 Zip Pullover</t>
        </is>
      </c>
      <c r="D3507" s="1">
        <v>98829</v>
      </c>
      <c r="E3507" s="0" t="inlineStr">
        <is>
          <t>JEFFERY:98829A-S</t>
        </is>
      </c>
      <c r="G3507" s="0" t="inlineStr">
        <is>
          <t>MENS</t>
        </is>
      </c>
      <c r="H3507" s="0" t="inlineStr">
        <is>
          <t>S</t>
        </is>
      </c>
      <c r="I3507" s="0">
        <v>54.99</v>
      </c>
      <c r="J3507" s="0">
        <v>44</v>
      </c>
    </row>
    <row r="3508" spans="1:10" customHeight="0">
      <c r="A3508" s="0">
        <f>HYPERLINK("https://dl.dropboxusercontent.com/scl/fi/708u0davqelmesuon0bib/jeffery.jpg?rlkey=cas70vylt3cbb46wgxvnabyt3&amp;dl=0","Click to download Image")</f>
      </c>
      <c r="B3508" s="0">
        <f>HYPERLINK("https://dl.dropboxusercontent.com/scl/fi/5gqea4e7avsfkb7x6x57q/size-chartsmens-standard-relaxed-fit-tshirt.jpg?rlkey=pdk75szuskpqqbz9dld7e3q4c&amp;dl=0","Click to download SizeChart")</f>
      </c>
      <c r="C3508" s="0" t="inlineStr">
        <is>
          <t>Jeffery Men's 1/2 Zip Pullover</t>
        </is>
      </c>
      <c r="D3508" s="1">
        <v>98829</v>
      </c>
      <c r="E3508" s="0" t="inlineStr">
        <is>
          <t>JEFFERY:98829B-M</t>
        </is>
      </c>
      <c r="G3508" s="0" t="inlineStr">
        <is>
          <t>MENS</t>
        </is>
      </c>
      <c r="H3508" s="0" t="inlineStr">
        <is>
          <t>M</t>
        </is>
      </c>
      <c r="I3508" s="0">
        <v>54.99</v>
      </c>
      <c r="J3508" s="0">
        <v>33</v>
      </c>
    </row>
    <row r="3509" spans="1:10" customHeight="0">
      <c r="A3509" s="0">
        <f>HYPERLINK("https://dl.dropboxusercontent.com/scl/fi/708u0davqelmesuon0bib/jeffery.jpg?rlkey=cas70vylt3cbb46wgxvnabyt3&amp;dl=0","Click to download Image")</f>
      </c>
      <c r="B3509" s="0">
        <f>HYPERLINK("https://dl.dropboxusercontent.com/scl/fi/5gqea4e7avsfkb7x6x57q/size-chartsmens-standard-relaxed-fit-tshirt.jpg?rlkey=pdk75szuskpqqbz9dld7e3q4c&amp;dl=0","Click to download SizeChart")</f>
      </c>
      <c r="C3509" s="0" t="inlineStr">
        <is>
          <t>Jeffery Men's 1/2 Zip Pullover</t>
        </is>
      </c>
      <c r="D3509" s="1">
        <v>98829</v>
      </c>
      <c r="E3509" s="0" t="inlineStr">
        <is>
          <t>JEFFERY:98829C-L</t>
        </is>
      </c>
      <c r="G3509" s="0" t="inlineStr">
        <is>
          <t>MENS</t>
        </is>
      </c>
      <c r="H3509" s="0" t="inlineStr">
        <is>
          <t>L</t>
        </is>
      </c>
      <c r="I3509" s="0">
        <v>54.99</v>
      </c>
      <c r="J3509" s="0">
        <v>1</v>
      </c>
    </row>
    <row r="3510" spans="1:10" customHeight="0">
      <c r="A3510" s="0">
        <f>HYPERLINK("https://dl.dropboxusercontent.com/scl/fi/708u0davqelmesuon0bib/jeffery.jpg?rlkey=cas70vylt3cbb46wgxvnabyt3&amp;dl=0","Click to download Image")</f>
      </c>
      <c r="B3510" s="0">
        <f>HYPERLINK("https://dl.dropboxusercontent.com/scl/fi/5gqea4e7avsfkb7x6x57q/size-chartsmens-standard-relaxed-fit-tshirt.jpg?rlkey=pdk75szuskpqqbz9dld7e3q4c&amp;dl=0","Click to download SizeChart")</f>
      </c>
      <c r="C3510" s="0" t="inlineStr">
        <is>
          <t>Jeffery Men's 1/2 Zip Pullover</t>
        </is>
      </c>
      <c r="D3510" s="1">
        <v>98829</v>
      </c>
      <c r="E3510" s="0" t="inlineStr">
        <is>
          <t>JEFFERY:98829E-2XL</t>
        </is>
      </c>
      <c r="G3510" s="0" t="inlineStr">
        <is>
          <t>MENS</t>
        </is>
      </c>
      <c r="H3510" s="0" t="inlineStr">
        <is>
          <t>2XL</t>
        </is>
      </c>
      <c r="I3510" s="0">
        <v>56.99</v>
      </c>
      <c r="J3510" s="0">
        <v>28</v>
      </c>
    </row>
    <row r="3511" spans="1:10" customHeight="0">
      <c r="A3511" s="0">
        <f>HYPERLINK("https://dl.dropboxusercontent.com/scl/fi/708u0davqelmesuon0bib/jeffery.jpg?rlkey=cas70vylt3cbb46wgxvnabyt3&amp;dl=0","Click to download Image")</f>
      </c>
      <c r="B3511" s="0">
        <f>HYPERLINK("https://dl.dropboxusercontent.com/scl/fi/5gqea4e7avsfkb7x6x57q/size-chartsmens-standard-relaxed-fit-tshirt.jpg?rlkey=pdk75szuskpqqbz9dld7e3q4c&amp;dl=0","Click to download SizeChart")</f>
      </c>
      <c r="C3511" s="0" t="inlineStr">
        <is>
          <t>Jeffery Men's 1/2 Zip Pullover</t>
        </is>
      </c>
      <c r="D3511" s="1">
        <v>98829</v>
      </c>
      <c r="E3511" s="0" t="inlineStr">
        <is>
          <t>JEFFERY:98829F-3XL</t>
        </is>
      </c>
      <c r="G3511" s="0" t="inlineStr">
        <is>
          <t>MENS</t>
        </is>
      </c>
      <c r="H3511" s="0" t="inlineStr">
        <is>
          <t>3XL</t>
        </is>
      </c>
      <c r="I3511" s="0">
        <v>56.99</v>
      </c>
      <c r="J3511" s="0">
        <v>17</v>
      </c>
    </row>
    <row r="3512" spans="1:10" customHeight="0">
      <c r="A3512" s="0">
        <f>HYPERLINK("https://dl.dropboxusercontent.com/scl/fi/5abxaa61kta7zvikmptc9/harpert.jpg?rlkey=jt8kjpn7i76zszocpq3wnh5vi&amp;dl=0","Click to download Image")</f>
      </c>
      <c r="B3512" s="0">
        <f>HYPERLINK("https://dl.dropboxusercontent.com/scl/fi/v7jfxbldq2kuor6ofplke/size-charts-women-s-pants-n.jpg?rlkey=4ukejsxv8qxitq0r3h0dwup9c&amp;dl=0","Click to download SizeChart")</f>
      </c>
      <c r="C3512" s="0" t="inlineStr">
        <is>
          <t>Harper Women's Sweatpants</t>
        </is>
      </c>
      <c r="D3512" s="1">
        <v>98615</v>
      </c>
      <c r="E3512" s="0" t="inlineStr">
        <is>
          <t>HARPER:98651A-S</t>
        </is>
      </c>
      <c r="G3512" s="0" t="inlineStr">
        <is>
          <t>WOMENS</t>
        </is>
      </c>
      <c r="H3512" s="0" t="inlineStr">
        <is>
          <t>S</t>
        </is>
      </c>
      <c r="I3512" s="0">
        <v>29.99</v>
      </c>
      <c r="J3512" s="0">
        <v>20</v>
      </c>
    </row>
    <row r="3513" spans="1:10" customHeight="0">
      <c r="A3513" s="0">
        <f>HYPERLINK("https://dl.dropboxusercontent.com/scl/fi/5abxaa61kta7zvikmptc9/harpert.jpg?rlkey=jt8kjpn7i76zszocpq3wnh5vi&amp;dl=0","Click to download Image")</f>
      </c>
      <c r="B3513" s="0">
        <f>HYPERLINK("https://dl.dropboxusercontent.com/scl/fi/v7jfxbldq2kuor6ofplke/size-charts-women-s-pants-n.jpg?rlkey=4ukejsxv8qxitq0r3h0dwup9c&amp;dl=0","Click to download SizeChart")</f>
      </c>
      <c r="C3513" s="0" t="inlineStr">
        <is>
          <t>Harper Women's Sweatpants</t>
        </is>
      </c>
      <c r="D3513" s="1">
        <v>98615</v>
      </c>
      <c r="E3513" s="0" t="inlineStr">
        <is>
          <t>HARPER:98651B-M</t>
        </is>
      </c>
      <c r="G3513" s="0" t="inlineStr">
        <is>
          <t>WOMENS</t>
        </is>
      </c>
      <c r="H3513" s="0" t="inlineStr">
        <is>
          <t>M</t>
        </is>
      </c>
      <c r="I3513" s="0">
        <v>29.99</v>
      </c>
      <c r="J3513" s="0">
        <v>17</v>
      </c>
    </row>
    <row r="3514" spans="1:10" customHeight="0">
      <c r="A3514" s="0">
        <f>HYPERLINK("https://dl.dropboxusercontent.com/scl/fi/5abxaa61kta7zvikmptc9/harpert.jpg?rlkey=jt8kjpn7i76zszocpq3wnh5vi&amp;dl=0","Click to download Image")</f>
      </c>
      <c r="B3514" s="0">
        <f>HYPERLINK("https://dl.dropboxusercontent.com/scl/fi/v7jfxbldq2kuor6ofplke/size-charts-women-s-pants-n.jpg?rlkey=4ukejsxv8qxitq0r3h0dwup9c&amp;dl=0","Click to download SizeChart")</f>
      </c>
      <c r="C3514" s="0" t="inlineStr">
        <is>
          <t>Harper Women's Sweatpants</t>
        </is>
      </c>
      <c r="D3514" s="1">
        <v>98615</v>
      </c>
      <c r="E3514" s="0" t="inlineStr">
        <is>
          <t>HARPER:98651C-L</t>
        </is>
      </c>
      <c r="G3514" s="0" t="inlineStr">
        <is>
          <t>WOMENS</t>
        </is>
      </c>
      <c r="H3514" s="0" t="inlineStr">
        <is>
          <t>L</t>
        </is>
      </c>
      <c r="I3514" s="0">
        <v>29.99</v>
      </c>
      <c r="J3514" s="0">
        <v>7</v>
      </c>
    </row>
    <row r="3515" spans="1:10" customHeight="0">
      <c r="A3515" s="0">
        <f>HYPERLINK("https://dl.dropboxusercontent.com/scl/fi/5abxaa61kta7zvikmptc9/harpert.jpg?rlkey=jt8kjpn7i76zszocpq3wnh5vi&amp;dl=0","Click to download Image")</f>
      </c>
      <c r="B3515" s="0">
        <f>HYPERLINK("https://dl.dropboxusercontent.com/scl/fi/v7jfxbldq2kuor6ofplke/size-charts-women-s-pants-n.jpg?rlkey=4ukejsxv8qxitq0r3h0dwup9c&amp;dl=0","Click to download SizeChart")</f>
      </c>
      <c r="C3515" s="0" t="inlineStr">
        <is>
          <t>Harper Women's Sweatpants</t>
        </is>
      </c>
      <c r="D3515" s="1">
        <v>98615</v>
      </c>
      <c r="E3515" s="0" t="inlineStr">
        <is>
          <t>HARPER:98651D-XL</t>
        </is>
      </c>
      <c r="G3515" s="0" t="inlineStr">
        <is>
          <t>WOMENS</t>
        </is>
      </c>
      <c r="H3515" s="0" t="inlineStr">
        <is>
          <t>XL</t>
        </is>
      </c>
      <c r="I3515" s="0">
        <v>29.99</v>
      </c>
      <c r="J3515" s="0">
        <v>14</v>
      </c>
    </row>
    <row r="3516" spans="1:10" customHeight="0">
      <c r="A3516" s="0">
        <f>HYPERLINK("https://dl.dropboxusercontent.com/scl/fi/sp9qxcw9phsyjccdrax3j/iagaryaf81667.jpg?rlkey=2ezb5h5b6pzmw3422hp075xio&amp;dl=0","Click to download Image")</f>
      </c>
      <c r="C3516" s="0" t="inlineStr">
        <is>
          <t>Gary Men's Sweatpants</t>
        </is>
      </c>
      <c r="D3516" s="1">
        <v>95900</v>
      </c>
      <c r="E3516" s="0" t="inlineStr">
        <is>
          <t>GARY:95900A-S</t>
        </is>
      </c>
      <c r="G3516" s="0" t="inlineStr">
        <is>
          <t>MENS</t>
        </is>
      </c>
      <c r="H3516" s="0" t="inlineStr">
        <is>
          <t>S</t>
        </is>
      </c>
      <c r="I3516" s="0">
        <v>39.99</v>
      </c>
      <c r="J3516" s="0">
        <v>1</v>
      </c>
    </row>
    <row r="3517" spans="1:10" customHeight="0">
      <c r="A3517" s="0">
        <f>HYPERLINK("https://dl.dropboxusercontent.com/scl/fi/sp9qxcw9phsyjccdrax3j/iagaryaf81667.jpg?rlkey=2ezb5h5b6pzmw3422hp075xio&amp;dl=0","Click to download Image")</f>
      </c>
      <c r="C3517" s="0" t="inlineStr">
        <is>
          <t>Gary Men's Sweatpants</t>
        </is>
      </c>
      <c r="D3517" s="1">
        <v>95900</v>
      </c>
      <c r="E3517" s="0" t="inlineStr">
        <is>
          <t>GARY:95900B-M</t>
        </is>
      </c>
      <c r="G3517" s="0" t="inlineStr">
        <is>
          <t>MENS</t>
        </is>
      </c>
      <c r="H3517" s="0" t="inlineStr">
        <is>
          <t>M</t>
        </is>
      </c>
      <c r="I3517" s="0">
        <v>39.99</v>
      </c>
      <c r="J3517" s="0">
        <v>3</v>
      </c>
    </row>
    <row r="3518" spans="1:10" customHeight="0">
      <c r="A3518" s="0">
        <f>HYPERLINK("https://dl.dropboxusercontent.com/scl/fi/sp9qxcw9phsyjccdrax3j/iagaryaf81667.jpg?rlkey=2ezb5h5b6pzmw3422hp075xio&amp;dl=0","Click to download Image")</f>
      </c>
      <c r="C3518" s="0" t="inlineStr">
        <is>
          <t>Gary Men's Sweatpants</t>
        </is>
      </c>
      <c r="D3518" s="1">
        <v>95900</v>
      </c>
      <c r="E3518" s="0" t="inlineStr">
        <is>
          <t>GARY:95900C-L</t>
        </is>
      </c>
      <c r="G3518" s="0" t="inlineStr">
        <is>
          <t>MENS</t>
        </is>
      </c>
      <c r="H3518" s="0" t="inlineStr">
        <is>
          <t>L</t>
        </is>
      </c>
      <c r="I3518" s="0">
        <v>39.99</v>
      </c>
      <c r="J3518" s="0">
        <v>20</v>
      </c>
    </row>
    <row r="3519" spans="1:10" customHeight="0">
      <c r="A3519" s="0">
        <f>HYPERLINK("https://dl.dropboxusercontent.com/scl/fi/sp9qxcw9phsyjccdrax3j/iagaryaf81667.jpg?rlkey=2ezb5h5b6pzmw3422hp075xio&amp;dl=0","Click to download Image")</f>
      </c>
      <c r="C3519" s="0" t="inlineStr">
        <is>
          <t>Gary Men's Sweatpants</t>
        </is>
      </c>
      <c r="D3519" s="1">
        <v>95900</v>
      </c>
      <c r="E3519" s="0" t="inlineStr">
        <is>
          <t>GARY:95900D-XL</t>
        </is>
      </c>
      <c r="G3519" s="0" t="inlineStr">
        <is>
          <t>MENS</t>
        </is>
      </c>
      <c r="H3519" s="0" t="inlineStr">
        <is>
          <t>XL</t>
        </is>
      </c>
      <c r="I3519" s="0">
        <v>39.99</v>
      </c>
      <c r="J3519" s="0">
        <v>50</v>
      </c>
    </row>
    <row r="3520" spans="1:10" customHeight="0">
      <c r="A3520" s="0">
        <f>HYPERLINK("https://dl.dropboxusercontent.com/scl/fi/sp9qxcw9phsyjccdrax3j/iagaryaf81667.jpg?rlkey=2ezb5h5b6pzmw3422hp075xio&amp;dl=0","Click to download Image")</f>
      </c>
      <c r="C3520" s="0" t="inlineStr">
        <is>
          <t>Gary Men's Sweatpants</t>
        </is>
      </c>
      <c r="D3520" s="1">
        <v>95900</v>
      </c>
      <c r="E3520" s="0" t="inlineStr">
        <is>
          <t>GARY:95900E-2X</t>
        </is>
      </c>
      <c r="G3520" s="0" t="inlineStr">
        <is>
          <t>MENS</t>
        </is>
      </c>
      <c r="H3520" s="0" t="inlineStr">
        <is>
          <t>2XL</t>
        </is>
      </c>
      <c r="I3520" s="0">
        <v>41.99</v>
      </c>
      <c r="J3520" s="0">
        <v>32</v>
      </c>
    </row>
    <row r="3521" spans="1:10" customHeight="0">
      <c r="A3521" s="0">
        <f>HYPERLINK("https://dl.dropboxusercontent.com/scl/fi/sp9qxcw9phsyjccdrax3j/iagaryaf81667.jpg?rlkey=2ezb5h5b6pzmw3422hp075xio&amp;dl=0","Click to download Image")</f>
      </c>
      <c r="C3521" s="0" t="inlineStr">
        <is>
          <t>Gary Men's Sweatpants</t>
        </is>
      </c>
      <c r="D3521" s="1">
        <v>95900</v>
      </c>
      <c r="E3521" s="0" t="inlineStr">
        <is>
          <t>GARY:95900F-3X</t>
        </is>
      </c>
      <c r="G3521" s="0" t="inlineStr">
        <is>
          <t>MENS</t>
        </is>
      </c>
      <c r="H3521" s="0" t="inlineStr">
        <is>
          <t>3XL</t>
        </is>
      </c>
      <c r="I3521" s="0">
        <v>41.99</v>
      </c>
      <c r="J3521" s="0">
        <v>12</v>
      </c>
    </row>
    <row r="3522" spans="1:10" customHeight="0">
      <c r="A3522" s="0">
        <f>HYPERLINK("https://dl.dropboxusercontent.com/scl/fi/1k1y9pbv41qmxjitvzv78/charliet.jpg?rlkey=sifk6scy5dr2bssdtjj162hlp&amp;dl=0","Click to download Image")</f>
      </c>
      <c r="C3522" s="0" t="inlineStr">
        <is>
          <t>Charlie Youth 1/2 Zip Hoodie</t>
        </is>
      </c>
      <c r="D3522" s="1">
        <v>98309</v>
      </c>
      <c r="E3522" s="0" t="inlineStr">
        <is>
          <t>CHARLIE:98309D-XL</t>
        </is>
      </c>
      <c r="G3522" s="0" t="inlineStr">
        <is>
          <t>YOUTH</t>
        </is>
      </c>
      <c r="H3522" s="0" t="inlineStr">
        <is>
          <t>YXL</t>
        </is>
      </c>
      <c r="I3522" s="0">
        <v>39.99</v>
      </c>
      <c r="J3522" s="0">
        <v>22</v>
      </c>
    </row>
    <row r="3523" spans="1:10" customHeight="0">
      <c r="A3523" s="0">
        <f>HYPERLINK("https://dl.dropboxusercontent.com/scl/fi/2u12cldk4ru0z5u3nuf1y/jasper.jpg?rlkey=w2fkfq852bigthomr999i4ze4&amp;dl=0","Click to download Image")</f>
      </c>
      <c r="B3523" s="0">
        <f>HYPERLINK("https://dl.dropboxusercontent.com/scl/fi/xr2btn5t25y3wwtzdpptq/mens-d.jpg?rlkey=2y517p76kz0b9niziv5ut7iaj&amp;dl=0","Click to download SizeChart")</f>
      </c>
      <c r="C3523" s="0" t="inlineStr">
        <is>
          <t>Jasper Realtree Men's Full Zip Hoodie</t>
        </is>
      </c>
      <c r="D3523" s="1">
        <v>98559</v>
      </c>
      <c r="E3523" s="0" t="inlineStr">
        <is>
          <t>JASPER:98559A-S</t>
        </is>
      </c>
      <c r="G3523" s="0" t="inlineStr">
        <is>
          <t>MENS</t>
        </is>
      </c>
      <c r="H3523" s="0" t="inlineStr">
        <is>
          <t>S</t>
        </is>
      </c>
      <c r="I3523" s="0">
        <v>64.99</v>
      </c>
      <c r="J3523" s="0">
        <v>48</v>
      </c>
    </row>
    <row r="3524" spans="1:10" customHeight="0">
      <c r="A3524" s="0">
        <f>HYPERLINK("https://dl.dropboxusercontent.com/scl/fi/2u12cldk4ru0z5u3nuf1y/jasper.jpg?rlkey=w2fkfq852bigthomr999i4ze4&amp;dl=0","Click to download Image")</f>
      </c>
      <c r="B3524" s="0">
        <f>HYPERLINK("https://dl.dropboxusercontent.com/scl/fi/xr2btn5t25y3wwtzdpptq/mens-d.jpg?rlkey=2y517p76kz0b9niziv5ut7iaj&amp;dl=0","Click to download SizeChart")</f>
      </c>
      <c r="C3524" s="0" t="inlineStr">
        <is>
          <t>Jasper Realtree Men's Full Zip Hoodie</t>
        </is>
      </c>
      <c r="D3524" s="1">
        <v>98559</v>
      </c>
      <c r="E3524" s="0" t="inlineStr">
        <is>
          <t>JASPER:98559B-M</t>
        </is>
      </c>
      <c r="G3524" s="0" t="inlineStr">
        <is>
          <t>MENS</t>
        </is>
      </c>
      <c r="H3524" s="0" t="inlineStr">
        <is>
          <t>M</t>
        </is>
      </c>
      <c r="I3524" s="0">
        <v>64.99</v>
      </c>
      <c r="J3524" s="0">
        <v>56</v>
      </c>
    </row>
    <row r="3525" spans="1:10" customHeight="0">
      <c r="A3525" s="0">
        <f>HYPERLINK("https://dl.dropboxusercontent.com/scl/fi/2u12cldk4ru0z5u3nuf1y/jasper.jpg?rlkey=w2fkfq852bigthomr999i4ze4&amp;dl=0","Click to download Image")</f>
      </c>
      <c r="B3525" s="0">
        <f>HYPERLINK("https://dl.dropboxusercontent.com/scl/fi/xr2btn5t25y3wwtzdpptq/mens-d.jpg?rlkey=2y517p76kz0b9niziv5ut7iaj&amp;dl=0","Click to download SizeChart")</f>
      </c>
      <c r="C3525" s="0" t="inlineStr">
        <is>
          <t>Jasper Realtree Men's Full Zip Hoodie</t>
        </is>
      </c>
      <c r="D3525" s="1">
        <v>98559</v>
      </c>
      <c r="E3525" s="0" t="inlineStr">
        <is>
          <t>JASPER:98559C-L</t>
        </is>
      </c>
      <c r="G3525" s="0" t="inlineStr">
        <is>
          <t>MENS</t>
        </is>
      </c>
      <c r="H3525" s="0" t="inlineStr">
        <is>
          <t>L</t>
        </is>
      </c>
      <c r="I3525" s="0">
        <v>64.99</v>
      </c>
      <c r="J3525" s="0">
        <v>47</v>
      </c>
    </row>
    <row r="3526" spans="1:10" customHeight="0">
      <c r="A3526" s="0">
        <f>HYPERLINK("https://dl.dropboxusercontent.com/scl/fi/2u12cldk4ru0z5u3nuf1y/jasper.jpg?rlkey=w2fkfq852bigthomr999i4ze4&amp;dl=0","Click to download Image")</f>
      </c>
      <c r="B3526" s="0">
        <f>HYPERLINK("https://dl.dropboxusercontent.com/scl/fi/xr2btn5t25y3wwtzdpptq/mens-d.jpg?rlkey=2y517p76kz0b9niziv5ut7iaj&amp;dl=0","Click to download SizeChart")</f>
      </c>
      <c r="C3526" s="0" t="inlineStr">
        <is>
          <t>Jasper Realtree Men's Full Zip Hoodie</t>
        </is>
      </c>
      <c r="D3526" s="1">
        <v>98559</v>
      </c>
      <c r="E3526" s="0" t="inlineStr">
        <is>
          <t>JASPER:98559D-XL</t>
        </is>
      </c>
      <c r="G3526" s="0" t="inlineStr">
        <is>
          <t>MENS</t>
        </is>
      </c>
      <c r="H3526" s="0" t="inlineStr">
        <is>
          <t>XL</t>
        </is>
      </c>
      <c r="I3526" s="0">
        <v>64.99</v>
      </c>
      <c r="J3526" s="0">
        <v>49</v>
      </c>
    </row>
    <row r="3527" spans="1:10" customHeight="0">
      <c r="A3527" s="0">
        <f>HYPERLINK("https://dl.dropboxusercontent.com/scl/fi/2u12cldk4ru0z5u3nuf1y/jasper.jpg?rlkey=w2fkfq852bigthomr999i4ze4&amp;dl=0","Click to download Image")</f>
      </c>
      <c r="B3527" s="0">
        <f>HYPERLINK("https://dl.dropboxusercontent.com/scl/fi/xr2btn5t25y3wwtzdpptq/mens-d.jpg?rlkey=2y517p76kz0b9niziv5ut7iaj&amp;dl=0","Click to download SizeChart")</f>
      </c>
      <c r="C3527" s="0" t="inlineStr">
        <is>
          <t>Jasper Realtree Men's Full Zip Hoodie</t>
        </is>
      </c>
      <c r="D3527" s="1">
        <v>98559</v>
      </c>
      <c r="E3527" s="0" t="inlineStr">
        <is>
          <t>JASPER:98559E-2XL</t>
        </is>
      </c>
      <c r="G3527" s="0" t="inlineStr">
        <is>
          <t>MENS</t>
        </is>
      </c>
      <c r="H3527" s="0" t="inlineStr">
        <is>
          <t>2XL</t>
        </is>
      </c>
      <c r="I3527" s="0">
        <v>66.99</v>
      </c>
      <c r="J3527" s="0">
        <v>38</v>
      </c>
    </row>
    <row r="3528" spans="1:10" customHeight="0">
      <c r="A3528" s="0">
        <f>HYPERLINK("https://dl.dropboxusercontent.com/scl/fi/2u12cldk4ru0z5u3nuf1y/jasper.jpg?rlkey=w2fkfq852bigthomr999i4ze4&amp;dl=0","Click to download Image")</f>
      </c>
      <c r="B3528" s="0">
        <f>HYPERLINK("https://dl.dropboxusercontent.com/scl/fi/xr2btn5t25y3wwtzdpptq/mens-d.jpg?rlkey=2y517p76kz0b9niziv5ut7iaj&amp;dl=0","Click to download SizeChart")</f>
      </c>
      <c r="C3528" s="0" t="inlineStr">
        <is>
          <t>Jasper Realtree Men's Full Zip Hoodie</t>
        </is>
      </c>
      <c r="D3528" s="1">
        <v>98559</v>
      </c>
      <c r="E3528" s="0" t="inlineStr">
        <is>
          <t>JASPER:98559F-3XL</t>
        </is>
      </c>
      <c r="G3528" s="0" t="inlineStr">
        <is>
          <t>MENS</t>
        </is>
      </c>
      <c r="H3528" s="0" t="inlineStr">
        <is>
          <t>3XL</t>
        </is>
      </c>
      <c r="I3528" s="0">
        <v>66.99</v>
      </c>
      <c r="J3528" s="0">
        <v>15</v>
      </c>
    </row>
    <row r="3529" spans="1:10" customHeight="0">
      <c r="A3529" s="0">
        <f>HYPERLINK("https://dl.dropboxusercontent.com/scl/fi/pm4niy4wy22rw0a1xkeww/averyt.jpg?rlkey=wxqk6b744cri93xcmb47kqkna&amp;dl=0","Click to download Image")</f>
      </c>
      <c r="C3529" s="0" t="inlineStr">
        <is>
          <t>Avery Women's Keyhole Polo</t>
        </is>
      </c>
      <c r="D3529" s="1">
        <v>94645</v>
      </c>
      <c r="E3529" s="0" t="inlineStr">
        <is>
          <t>AVERY:94645A-S</t>
        </is>
      </c>
      <c r="G3529" s="0" t="inlineStr">
        <is>
          <t>WOMENS</t>
        </is>
      </c>
      <c r="H3529" s="0" t="inlineStr">
        <is>
          <t>S</t>
        </is>
      </c>
      <c r="I3529" s="0">
        <v>22.99</v>
      </c>
      <c r="J3529" s="0">
        <v>24</v>
      </c>
    </row>
    <row r="3530" spans="1:10" customHeight="0">
      <c r="A3530" s="0">
        <f>HYPERLINK("https://dl.dropboxusercontent.com/scl/fi/pm4niy4wy22rw0a1xkeww/averyt.jpg?rlkey=wxqk6b744cri93xcmb47kqkna&amp;dl=0","Click to download Image")</f>
      </c>
      <c r="C3530" s="0" t="inlineStr">
        <is>
          <t>Avery Women's Keyhole Polo</t>
        </is>
      </c>
      <c r="D3530" s="1">
        <v>94645</v>
      </c>
      <c r="E3530" s="0" t="inlineStr">
        <is>
          <t>AVERY:94645B-M</t>
        </is>
      </c>
      <c r="G3530" s="0" t="inlineStr">
        <is>
          <t>WOMENS</t>
        </is>
      </c>
      <c r="H3530" s="0" t="inlineStr">
        <is>
          <t>M</t>
        </is>
      </c>
      <c r="I3530" s="0">
        <v>22.99</v>
      </c>
      <c r="J3530" s="0">
        <v>44</v>
      </c>
    </row>
    <row r="3531" spans="1:10" customHeight="0">
      <c r="A3531" s="0">
        <f>HYPERLINK("https://dl.dropboxusercontent.com/scl/fi/pm4niy4wy22rw0a1xkeww/averyt.jpg?rlkey=wxqk6b744cri93xcmb47kqkna&amp;dl=0","Click to download Image")</f>
      </c>
      <c r="C3531" s="0" t="inlineStr">
        <is>
          <t>Avery Women's Keyhole Polo</t>
        </is>
      </c>
      <c r="D3531" s="1">
        <v>94645</v>
      </c>
      <c r="E3531" s="0" t="inlineStr">
        <is>
          <t>AVERY:94645C-L</t>
        </is>
      </c>
      <c r="G3531" s="0" t="inlineStr">
        <is>
          <t>WOMENS</t>
        </is>
      </c>
      <c r="H3531" s="0" t="inlineStr">
        <is>
          <t>L</t>
        </is>
      </c>
      <c r="I3531" s="0">
        <v>22.99</v>
      </c>
      <c r="J3531" s="0">
        <v>94</v>
      </c>
    </row>
    <row r="3532" spans="1:10" customHeight="0">
      <c r="A3532" s="0">
        <f>HYPERLINK("https://dl.dropboxusercontent.com/scl/fi/pm4niy4wy22rw0a1xkeww/averyt.jpg?rlkey=wxqk6b744cri93xcmb47kqkna&amp;dl=0","Click to download Image")</f>
      </c>
      <c r="C3532" s="0" t="inlineStr">
        <is>
          <t>Avery Women's Keyhole Polo</t>
        </is>
      </c>
      <c r="D3532" s="1">
        <v>94645</v>
      </c>
      <c r="E3532" s="0" t="inlineStr">
        <is>
          <t>AVERY:94645D-XL</t>
        </is>
      </c>
      <c r="G3532" s="0" t="inlineStr">
        <is>
          <t>WOMENS</t>
        </is>
      </c>
      <c r="H3532" s="0" t="inlineStr">
        <is>
          <t>XL</t>
        </is>
      </c>
      <c r="I3532" s="0">
        <v>22.99</v>
      </c>
      <c r="J3532" s="0">
        <v>94</v>
      </c>
    </row>
    <row r="3533" spans="1:10" customHeight="0">
      <c r="A3533" s="0">
        <f>HYPERLINK("https://dl.dropboxusercontent.com/scl/fi/pm4niy4wy22rw0a1xkeww/averyt.jpg?rlkey=wxqk6b744cri93xcmb47kqkna&amp;dl=0","Click to download Image")</f>
      </c>
      <c r="C3533" s="0" t="inlineStr">
        <is>
          <t>Avery Women's Keyhole Polo</t>
        </is>
      </c>
      <c r="D3533" s="1">
        <v>94645</v>
      </c>
      <c r="E3533" s="0" t="inlineStr">
        <is>
          <t>AVERY:94645E-2XL</t>
        </is>
      </c>
      <c r="G3533" s="0" t="inlineStr">
        <is>
          <t>WOMENS</t>
        </is>
      </c>
      <c r="H3533" s="0" t="inlineStr">
        <is>
          <t>2XL</t>
        </is>
      </c>
      <c r="I3533" s="0">
        <v>24.99</v>
      </c>
      <c r="J3533" s="0">
        <v>29</v>
      </c>
    </row>
    <row r="3534" spans="1:10" customHeight="0">
      <c r="A3534" s="0">
        <f>HYPERLINK("https://dl.dropboxusercontent.com/scl/fi/7iabipuias6c1pg9oy4fv/janey-t.jpg?rlkey=ym5kzryphj9q9ixldrqpdjn8c&amp;dl=0","Click to download Image")</f>
      </c>
      <c r="B3534" s="0">
        <f>HYPERLINK("https://dl.dropboxusercontent.com/scl/fi/s1q40k98d0pc1tysd0jfp/size-chartladies-e.jpg?rlkey=mkec4m9a3xc55gp4m9x66jfmb&amp;dl=0","Click to download SizeChart")</f>
      </c>
      <c r="C3534" s="0" t="inlineStr">
        <is>
          <t>Janey Women's Tank Top</t>
        </is>
      </c>
      <c r="D3534" s="1">
        <v>94185</v>
      </c>
      <c r="E3534" s="0" t="inlineStr">
        <is>
          <t>JANEY TANK:94185A-S</t>
        </is>
      </c>
      <c r="G3534" s="0" t="inlineStr">
        <is>
          <t>WOMENS</t>
        </is>
      </c>
      <c r="H3534" s="0" t="inlineStr">
        <is>
          <t>S</t>
        </is>
      </c>
      <c r="I3534" s="0">
        <v>39.99</v>
      </c>
      <c r="J3534" s="0">
        <v>9</v>
      </c>
    </row>
    <row r="3535" spans="1:10" customHeight="0">
      <c r="A3535" s="0">
        <f>HYPERLINK("https://dl.dropboxusercontent.com/scl/fi/7iabipuias6c1pg9oy4fv/janey-t.jpg?rlkey=ym5kzryphj9q9ixldrqpdjn8c&amp;dl=0","Click to download Image")</f>
      </c>
      <c r="B3535" s="0">
        <f>HYPERLINK("https://dl.dropboxusercontent.com/scl/fi/s1q40k98d0pc1tysd0jfp/size-chartladies-e.jpg?rlkey=mkec4m9a3xc55gp4m9x66jfmb&amp;dl=0","Click to download SizeChart")</f>
      </c>
      <c r="C3535" s="0" t="inlineStr">
        <is>
          <t>Janey Women's Tank Top</t>
        </is>
      </c>
      <c r="D3535" s="1">
        <v>94185</v>
      </c>
      <c r="E3535" s="0" t="inlineStr">
        <is>
          <t>JANEY TANK:94185B- M</t>
        </is>
      </c>
      <c r="G3535" s="0" t="inlineStr">
        <is>
          <t>WOMENS</t>
        </is>
      </c>
      <c r="H3535" s="0" t="inlineStr">
        <is>
          <t>M</t>
        </is>
      </c>
      <c r="I3535" s="0">
        <v>39.99</v>
      </c>
      <c r="J3535" s="0">
        <v>16</v>
      </c>
    </row>
    <row r="3536" spans="1:10" customHeight="0">
      <c r="A3536" s="0">
        <f>HYPERLINK("https://dl.dropboxusercontent.com/scl/fi/7iabipuias6c1pg9oy4fv/janey-t.jpg?rlkey=ym5kzryphj9q9ixldrqpdjn8c&amp;dl=0","Click to download Image")</f>
      </c>
      <c r="B3536" s="0">
        <f>HYPERLINK("https://dl.dropboxusercontent.com/scl/fi/s1q40k98d0pc1tysd0jfp/size-chartladies-e.jpg?rlkey=mkec4m9a3xc55gp4m9x66jfmb&amp;dl=0","Click to download SizeChart")</f>
      </c>
      <c r="C3536" s="0" t="inlineStr">
        <is>
          <t>Janey Women's Tank Top</t>
        </is>
      </c>
      <c r="D3536" s="1">
        <v>94185</v>
      </c>
      <c r="E3536" s="0" t="inlineStr">
        <is>
          <t>JANEY TANK:94185C- L</t>
        </is>
      </c>
      <c r="G3536" s="0" t="inlineStr">
        <is>
          <t>WOMENS</t>
        </is>
      </c>
      <c r="H3536" s="0" t="inlineStr">
        <is>
          <t>L</t>
        </is>
      </c>
      <c r="I3536" s="0">
        <v>39.99</v>
      </c>
      <c r="J3536" s="0">
        <v>70</v>
      </c>
    </row>
    <row r="3537" spans="1:10" customHeight="0">
      <c r="A3537" s="0">
        <f>HYPERLINK("https://dl.dropboxusercontent.com/scl/fi/7iabipuias6c1pg9oy4fv/janey-t.jpg?rlkey=ym5kzryphj9q9ixldrqpdjn8c&amp;dl=0","Click to download Image")</f>
      </c>
      <c r="B3537" s="0">
        <f>HYPERLINK("https://dl.dropboxusercontent.com/scl/fi/s1q40k98d0pc1tysd0jfp/size-chartladies-e.jpg?rlkey=mkec4m9a3xc55gp4m9x66jfmb&amp;dl=0","Click to download SizeChart")</f>
      </c>
      <c r="C3537" s="0" t="inlineStr">
        <is>
          <t>Janey Women's Tank Top</t>
        </is>
      </c>
      <c r="D3537" s="1">
        <v>94185</v>
      </c>
      <c r="E3537" s="0" t="inlineStr">
        <is>
          <t>JANEY TANK:94185D- XL</t>
        </is>
      </c>
      <c r="G3537" s="0" t="inlineStr">
        <is>
          <t>WOMENS</t>
        </is>
      </c>
      <c r="H3537" s="0" t="inlineStr">
        <is>
          <t>XL</t>
        </is>
      </c>
      <c r="I3537" s="0">
        <v>39.99</v>
      </c>
      <c r="J3537" s="0">
        <v>78</v>
      </c>
    </row>
    <row r="3538" spans="1:10" customHeight="0">
      <c r="A3538" s="0">
        <f>HYPERLINK("https://dl.dropboxusercontent.com/scl/fi/7iabipuias6c1pg9oy4fv/janey-t.jpg?rlkey=ym5kzryphj9q9ixldrqpdjn8c&amp;dl=0","Click to download Image")</f>
      </c>
      <c r="B3538" s="0">
        <f>HYPERLINK("https://dl.dropboxusercontent.com/scl/fi/s1q40k98d0pc1tysd0jfp/size-chartladies-e.jpg?rlkey=mkec4m9a3xc55gp4m9x66jfmb&amp;dl=0","Click to download SizeChart")</f>
      </c>
      <c r="C3538" s="0" t="inlineStr">
        <is>
          <t>Janey Women's Tank Top</t>
        </is>
      </c>
      <c r="D3538" s="1">
        <v>94185</v>
      </c>
      <c r="E3538" s="0" t="inlineStr">
        <is>
          <t>JANEY TANK:94185E- 2XL</t>
        </is>
      </c>
      <c r="G3538" s="0" t="inlineStr">
        <is>
          <t>WOMENS</t>
        </is>
      </c>
      <c r="H3538" s="0" t="inlineStr">
        <is>
          <t>2XL</t>
        </is>
      </c>
      <c r="I3538" s="0">
        <v>41.99</v>
      </c>
      <c r="J3538" s="0">
        <v>10</v>
      </c>
    </row>
    <row r="3539" spans="1:10" customHeight="0">
      <c r="A3539" s="0">
        <f>HYPERLINK("https://dl.dropboxusercontent.com/scl/fi/j9024moeac8q6rllm9lbb/youth-masks.jpg?rlkey=b2m9v94y10354b7jwh47kqnnu&amp;dl=0","Click to download Image")</f>
      </c>
      <c r="C3539" s="0" t="inlineStr">
        <is>
          <t>Youth Printed Reusable Face Mask</t>
        </is>
      </c>
      <c r="D3539" s="0" t="inlineStr">
        <is>
          <t>120154PK</t>
        </is>
      </c>
      <c r="E3539" s="0" t="inlineStr">
        <is>
          <t>IOWA YOUTH MASK:120154PK</t>
        </is>
      </c>
      <c r="I3539" s="0">
        <v>59.99</v>
      </c>
      <c r="J3539" s="0">
        <v>920</v>
      </c>
    </row>
    <row r="3540" spans="1:10" customHeight="0">
      <c r="A3540" s="0">
        <f>HYPERLINK("https://dl.dropboxusercontent.com/scl/fi/70krl81fjk6kzk88bglg2/janey-j-03.jpg?rlkey=kf3c2yvy8kpm0yxh1vbxtwmc8&amp;dl=0","Click to download Image")</f>
      </c>
      <c r="B3540" s="0">
        <f>HYPERLINK("https://dl.dropboxusercontent.com/scl/fi/5yz52dqi7iid4yjg2girm/size-chartladies-e.jpg?rlkey=xrhl7zckoiis3zgid1f2mzzwp&amp;dl=0","Click to download SizeChart")</f>
      </c>
      <c r="C3540" s="0" t="inlineStr">
        <is>
          <t>Janey Women's Lightweight Jacket</t>
        </is>
      </c>
      <c r="D3540" s="1">
        <v>96610</v>
      </c>
      <c r="E3540" s="0" t="inlineStr">
        <is>
          <t>JANEY FITNESS:96610A-S</t>
        </is>
      </c>
      <c r="G3540" s="0" t="inlineStr">
        <is>
          <t>WOMENS</t>
        </is>
      </c>
      <c r="H3540" s="0" t="inlineStr">
        <is>
          <t>S</t>
        </is>
      </c>
      <c r="I3540" s="0">
        <v>54.99</v>
      </c>
      <c r="J3540" s="0">
        <v>39</v>
      </c>
    </row>
    <row r="3541" spans="1:10" customHeight="0">
      <c r="A3541" s="0">
        <f>HYPERLINK("https://dl.dropboxusercontent.com/scl/fi/70krl81fjk6kzk88bglg2/janey-j-03.jpg?rlkey=kf3c2yvy8kpm0yxh1vbxtwmc8&amp;dl=0","Click to download Image")</f>
      </c>
      <c r="B3541" s="0">
        <f>HYPERLINK("https://dl.dropboxusercontent.com/scl/fi/5yz52dqi7iid4yjg2girm/size-chartladies-e.jpg?rlkey=xrhl7zckoiis3zgid1f2mzzwp&amp;dl=0","Click to download SizeChart")</f>
      </c>
      <c r="C3541" s="0" t="inlineStr">
        <is>
          <t>Janey Women's Lightweight Jacket</t>
        </is>
      </c>
      <c r="D3541" s="1">
        <v>96610</v>
      </c>
      <c r="E3541" s="0" t="inlineStr">
        <is>
          <t>JANEY FITNESS:96610B-M</t>
        </is>
      </c>
      <c r="G3541" s="0" t="inlineStr">
        <is>
          <t>WOMENS</t>
        </is>
      </c>
      <c r="H3541" s="0" t="inlineStr">
        <is>
          <t>M</t>
        </is>
      </c>
      <c r="I3541" s="0">
        <v>54.99</v>
      </c>
      <c r="J3541" s="0">
        <v>22</v>
      </c>
    </row>
    <row r="3542" spans="1:10" customHeight="0">
      <c r="A3542" s="0">
        <f>HYPERLINK("https://dl.dropboxusercontent.com/scl/fi/70krl81fjk6kzk88bglg2/janey-j-03.jpg?rlkey=kf3c2yvy8kpm0yxh1vbxtwmc8&amp;dl=0","Click to download Image")</f>
      </c>
      <c r="B3542" s="0">
        <f>HYPERLINK("https://dl.dropboxusercontent.com/scl/fi/5yz52dqi7iid4yjg2girm/size-chartladies-e.jpg?rlkey=xrhl7zckoiis3zgid1f2mzzwp&amp;dl=0","Click to download SizeChart")</f>
      </c>
      <c r="C3542" s="0" t="inlineStr">
        <is>
          <t>Janey Women's Lightweight Jacket</t>
        </is>
      </c>
      <c r="D3542" s="1">
        <v>96610</v>
      </c>
      <c r="E3542" s="0" t="inlineStr">
        <is>
          <t>JANEY FITNESS:96610C-L</t>
        </is>
      </c>
      <c r="G3542" s="0" t="inlineStr">
        <is>
          <t>WOMENS</t>
        </is>
      </c>
      <c r="H3542" s="0" t="inlineStr">
        <is>
          <t>L</t>
        </is>
      </c>
      <c r="I3542" s="0">
        <v>54.99</v>
      </c>
      <c r="J3542" s="0">
        <v>80</v>
      </c>
    </row>
    <row r="3543" spans="1:10" customHeight="0">
      <c r="A3543" s="0">
        <f>HYPERLINK("https://dl.dropboxusercontent.com/scl/fi/70krl81fjk6kzk88bglg2/janey-j-03.jpg?rlkey=kf3c2yvy8kpm0yxh1vbxtwmc8&amp;dl=0","Click to download Image")</f>
      </c>
      <c r="B3543" s="0">
        <f>HYPERLINK("https://dl.dropboxusercontent.com/scl/fi/5yz52dqi7iid4yjg2girm/size-chartladies-e.jpg?rlkey=xrhl7zckoiis3zgid1f2mzzwp&amp;dl=0","Click to download SizeChart")</f>
      </c>
      <c r="C3543" s="0" t="inlineStr">
        <is>
          <t>Janey Women's Lightweight Jacket</t>
        </is>
      </c>
      <c r="D3543" s="1">
        <v>96610</v>
      </c>
      <c r="E3543" s="0" t="inlineStr">
        <is>
          <t>JANEY FITNESS:96610D-XL</t>
        </is>
      </c>
      <c r="G3543" s="0" t="inlineStr">
        <is>
          <t>WOMENS</t>
        </is>
      </c>
      <c r="H3543" s="0" t="inlineStr">
        <is>
          <t>XL</t>
        </is>
      </c>
      <c r="I3543" s="0">
        <v>54.99</v>
      </c>
      <c r="J3543" s="0">
        <v>86</v>
      </c>
    </row>
    <row r="3544" spans="1:10" customHeight="0">
      <c r="A3544" s="0">
        <f>HYPERLINK("https://dl.dropboxusercontent.com/scl/fi/70krl81fjk6kzk88bglg2/janey-j-03.jpg?rlkey=kf3c2yvy8kpm0yxh1vbxtwmc8&amp;dl=0","Click to download Image")</f>
      </c>
      <c r="B3544" s="0">
        <f>HYPERLINK("https://dl.dropboxusercontent.com/scl/fi/5yz52dqi7iid4yjg2girm/size-chartladies-e.jpg?rlkey=xrhl7zckoiis3zgid1f2mzzwp&amp;dl=0","Click to download SizeChart")</f>
      </c>
      <c r="C3544" s="0" t="inlineStr">
        <is>
          <t>Janey Women's Lightweight Jacket</t>
        </is>
      </c>
      <c r="D3544" s="1">
        <v>96610</v>
      </c>
      <c r="E3544" s="0" t="inlineStr">
        <is>
          <t>JANEY FITNESS:96610E-2XL</t>
        </is>
      </c>
      <c r="G3544" s="0" t="inlineStr">
        <is>
          <t>WOMENS</t>
        </is>
      </c>
      <c r="H3544" s="0" t="inlineStr">
        <is>
          <t>2XL</t>
        </is>
      </c>
      <c r="I3544" s="0">
        <v>56.99</v>
      </c>
      <c r="J3544" s="0">
        <v>21</v>
      </c>
    </row>
    <row r="3545" spans="1:10" customHeight="0">
      <c r="A3545" s="0">
        <f>HYPERLINK("https://dl.dropboxusercontent.com/scl/fi/bq0fii85koauneiwiy2od/flint.jpg?rlkey=zyidaepmk372x1ollo9pzc9rs&amp;dl=0","Click to download Image")</f>
      </c>
      <c r="C3545" s="0" t="inlineStr">
        <is>
          <t>Flint Women's Heathered 1/4 Zip</t>
        </is>
      </c>
      <c r="D3545" s="1">
        <v>104051</v>
      </c>
      <c r="E3545" s="0" t="inlineStr">
        <is>
          <t>FLINT:104051A-S</t>
        </is>
      </c>
      <c r="G3545" s="0" t="inlineStr">
        <is>
          <t>WOMENS</t>
        </is>
      </c>
      <c r="H3545" s="0" t="inlineStr">
        <is>
          <t>S</t>
        </is>
      </c>
      <c r="I3545" s="0">
        <v>49.99</v>
      </c>
      <c r="J3545" s="0">
        <v>8</v>
      </c>
    </row>
    <row r="3546" spans="1:10" customHeight="0">
      <c r="A3546" s="0">
        <f>HYPERLINK("https://dl.dropboxusercontent.com/scl/fi/bq0fii85koauneiwiy2od/flint.jpg?rlkey=zyidaepmk372x1ollo9pzc9rs&amp;dl=0","Click to download Image")</f>
      </c>
      <c r="C3546" s="0" t="inlineStr">
        <is>
          <t>Flint Women's Heathered 1/4 Zip</t>
        </is>
      </c>
      <c r="D3546" s="1">
        <v>104051</v>
      </c>
      <c r="E3546" s="0" t="inlineStr">
        <is>
          <t>FLINT:104051B-M</t>
        </is>
      </c>
      <c r="G3546" s="0" t="inlineStr">
        <is>
          <t>WOMENS</t>
        </is>
      </c>
      <c r="H3546" s="0" t="inlineStr">
        <is>
          <t>M</t>
        </is>
      </c>
      <c r="I3546" s="0">
        <v>49.99</v>
      </c>
      <c r="J3546" s="0">
        <v>9</v>
      </c>
    </row>
    <row r="3547" spans="1:10" customHeight="0">
      <c r="A3547" s="0">
        <f>HYPERLINK("https://dl.dropboxusercontent.com/scl/fi/bq0fii85koauneiwiy2od/flint.jpg?rlkey=zyidaepmk372x1ollo9pzc9rs&amp;dl=0","Click to download Image")</f>
      </c>
      <c r="C3547" s="0" t="inlineStr">
        <is>
          <t>Flint Women's Heathered 1/4 Zip</t>
        </is>
      </c>
      <c r="D3547" s="1">
        <v>104051</v>
      </c>
      <c r="E3547" s="0" t="inlineStr">
        <is>
          <t>FLINT:104051C-L</t>
        </is>
      </c>
      <c r="G3547" s="0" t="inlineStr">
        <is>
          <t>WOMENS</t>
        </is>
      </c>
      <c r="H3547" s="0" t="inlineStr">
        <is>
          <t>L</t>
        </is>
      </c>
      <c r="I3547" s="0">
        <v>49.99</v>
      </c>
      <c r="J3547" s="0">
        <v>0</v>
      </c>
    </row>
    <row r="3548" spans="1:10" customHeight="0">
      <c r="A3548" s="0">
        <f>HYPERLINK("https://dl.dropboxusercontent.com/scl/fi/bq0fii85koauneiwiy2od/flint.jpg?rlkey=zyidaepmk372x1ollo9pzc9rs&amp;dl=0","Click to download Image")</f>
      </c>
      <c r="C3548" s="0" t="inlineStr">
        <is>
          <t>Flint Women's Heathered 1/4 Zip</t>
        </is>
      </c>
      <c r="D3548" s="1">
        <v>104051</v>
      </c>
      <c r="E3548" s="0" t="inlineStr">
        <is>
          <t>FLINT:104051D-XL</t>
        </is>
      </c>
      <c r="G3548" s="0" t="inlineStr">
        <is>
          <t>WOMENS</t>
        </is>
      </c>
      <c r="H3548" s="0" t="inlineStr">
        <is>
          <t>XL</t>
        </is>
      </c>
      <c r="I3548" s="0">
        <v>49.99</v>
      </c>
      <c r="J3548" s="0">
        <v>9</v>
      </c>
    </row>
    <row r="3549" spans="1:10" customHeight="0">
      <c r="A3549" s="0">
        <f>HYPERLINK("https://dl.dropboxusercontent.com/scl/fi/bq0fii85koauneiwiy2od/flint.jpg?rlkey=zyidaepmk372x1ollo9pzc9rs&amp;dl=0","Click to download Image")</f>
      </c>
      <c r="C3549" s="0" t="inlineStr">
        <is>
          <t>Flint Women's Heathered 1/4 Zip</t>
        </is>
      </c>
      <c r="D3549" s="1">
        <v>104051</v>
      </c>
      <c r="E3549" s="0" t="inlineStr">
        <is>
          <t>FLINT:104051E-2XL</t>
        </is>
      </c>
      <c r="G3549" s="0" t="inlineStr">
        <is>
          <t>WOMENS</t>
        </is>
      </c>
      <c r="H3549" s="0" t="inlineStr">
        <is>
          <t>2XL</t>
        </is>
      </c>
      <c r="I3549" s="0">
        <v>49.99</v>
      </c>
      <c r="J3549" s="0">
        <v>0</v>
      </c>
    </row>
    <row r="3550" spans="1:10" customHeight="0">
      <c r="A3550" s="0">
        <f>HYPERLINK("https://dl.dropboxusercontent.com/scl/fi/bq0fii85koauneiwiy2od/flint.jpg?rlkey=zyidaepmk372x1ollo9pzc9rs&amp;dl=0","Click to download Image")</f>
      </c>
      <c r="C3550" s="0" t="inlineStr">
        <is>
          <t>Flint Women's Heathered 1/4 Zip</t>
        </is>
      </c>
      <c r="D3550" s="1">
        <v>104051</v>
      </c>
      <c r="E3550" s="0" t="inlineStr">
        <is>
          <t>FLINT:104051F-3XL</t>
        </is>
      </c>
      <c r="G3550" s="0" t="inlineStr">
        <is>
          <t>WOMENS</t>
        </is>
      </c>
      <c r="H3550" s="0" t="inlineStr">
        <is>
          <t>3XL</t>
        </is>
      </c>
      <c r="I3550" s="0">
        <v>49.99</v>
      </c>
      <c r="J3550" s="0">
        <v>7</v>
      </c>
    </row>
    <row r="3551" spans="1:10" customHeight="0">
      <c r="A3551" s="0">
        <f>HYPERLINK("https://dl.dropboxusercontent.com/scl/fi/nqbqrlqnaqfrrfn83tqkd/isaiah-03.jpg?rlkey=mtbtwgc58joyv5ndskvnv1x99&amp;dl=0","Click to download Image")</f>
      </c>
      <c r="B3551" s="0">
        <f>HYPERLINK("https://dl.dropboxusercontent.com/scl/fi/z43amls9nn8usrsnhq7vp/mens-d.jpg?rlkey=qdt0qdrtkksxynpjutwrqnybd&amp;dl=0","Click to download SizeChart")</f>
      </c>
      <c r="C3551" s="0" t="inlineStr">
        <is>
          <t>Isaiah Men's 1/2 Zip Hoodie</t>
        </is>
      </c>
      <c r="D3551" s="1">
        <v>95562</v>
      </c>
      <c r="E3551" s="0" t="inlineStr">
        <is>
          <t>ISAIAH:95562A-S</t>
        </is>
      </c>
      <c r="G3551" s="0" t="inlineStr">
        <is>
          <t>MENS</t>
        </is>
      </c>
      <c r="H3551" s="0" t="inlineStr">
        <is>
          <t>S</t>
        </is>
      </c>
      <c r="I3551" s="0">
        <v>49.99</v>
      </c>
      <c r="J3551" s="0">
        <v>20</v>
      </c>
    </row>
    <row r="3552" spans="1:10" customHeight="0">
      <c r="A3552" s="0">
        <f>HYPERLINK("https://dl.dropboxusercontent.com/scl/fi/nqbqrlqnaqfrrfn83tqkd/isaiah-03.jpg?rlkey=mtbtwgc58joyv5ndskvnv1x99&amp;dl=0","Click to download Image")</f>
      </c>
      <c r="B3552" s="0">
        <f>HYPERLINK("https://dl.dropboxusercontent.com/scl/fi/z43amls9nn8usrsnhq7vp/mens-d.jpg?rlkey=qdt0qdrtkksxynpjutwrqnybd&amp;dl=0","Click to download SizeChart")</f>
      </c>
      <c r="C3552" s="0" t="inlineStr">
        <is>
          <t>Isaiah Men's 1/2 Zip Hoodie</t>
        </is>
      </c>
      <c r="D3552" s="1">
        <v>95562</v>
      </c>
      <c r="E3552" s="0" t="inlineStr">
        <is>
          <t>ISAIAH:95562B-M</t>
        </is>
      </c>
      <c r="G3552" s="0" t="inlineStr">
        <is>
          <t>MENS</t>
        </is>
      </c>
      <c r="H3552" s="0" t="inlineStr">
        <is>
          <t>M</t>
        </is>
      </c>
      <c r="I3552" s="0">
        <v>49.99</v>
      </c>
      <c r="J3552" s="0">
        <v>16</v>
      </c>
    </row>
    <row r="3553" spans="1:10" customHeight="0">
      <c r="A3553" s="0">
        <f>HYPERLINK("https://dl.dropboxusercontent.com/scl/fi/nqbqrlqnaqfrrfn83tqkd/isaiah-03.jpg?rlkey=mtbtwgc58joyv5ndskvnv1x99&amp;dl=0","Click to download Image")</f>
      </c>
      <c r="B3553" s="0">
        <f>HYPERLINK("https://dl.dropboxusercontent.com/scl/fi/z43amls9nn8usrsnhq7vp/mens-d.jpg?rlkey=qdt0qdrtkksxynpjutwrqnybd&amp;dl=0","Click to download SizeChart")</f>
      </c>
      <c r="C3553" s="0" t="inlineStr">
        <is>
          <t>Isaiah Men's 1/2 Zip Hoodie</t>
        </is>
      </c>
      <c r="D3553" s="1">
        <v>95562</v>
      </c>
      <c r="E3553" s="0" t="inlineStr">
        <is>
          <t>ISAIAH:95562F-3X</t>
        </is>
      </c>
      <c r="G3553" s="0" t="inlineStr">
        <is>
          <t>MENS</t>
        </is>
      </c>
      <c r="H3553" s="0" t="inlineStr">
        <is>
          <t>3XL</t>
        </is>
      </c>
      <c r="I3553" s="0">
        <v>51.99</v>
      </c>
      <c r="J3553" s="0">
        <v>0</v>
      </c>
    </row>
    <row r="3554" spans="1:10" customHeight="0">
      <c r="A3554" s="0">
        <f>HYPERLINK("https://dl.dropboxusercontent.com/scl/fi/0k8bbqthaxwwqmrkp3j5i/caroline.jpg?rlkey=zpxoaf16km5m8vdi8f7sh3gov&amp;dl=0","Click to download Image")</f>
      </c>
      <c r="C3554" s="0" t="inlineStr">
        <is>
          <t>Caroline Women's Leggings</t>
        </is>
      </c>
      <c r="D3554" s="1">
        <v>99895</v>
      </c>
      <c r="E3554" s="0" t="inlineStr">
        <is>
          <t>CAROLINE:99895A-S</t>
        </is>
      </c>
      <c r="G3554" s="0" t="inlineStr">
        <is>
          <t>WOMENS</t>
        </is>
      </c>
      <c r="H3554" s="0" t="inlineStr">
        <is>
          <t>S</t>
        </is>
      </c>
      <c r="I3554" s="0">
        <v>44.99</v>
      </c>
      <c r="J3554" s="0">
        <v>36</v>
      </c>
    </row>
    <row r="3555" spans="1:10" customHeight="0">
      <c r="A3555" s="0">
        <f>HYPERLINK("https://dl.dropboxusercontent.com/scl/fi/0k8bbqthaxwwqmrkp3j5i/caroline.jpg?rlkey=zpxoaf16km5m8vdi8f7sh3gov&amp;dl=0","Click to download Image")</f>
      </c>
      <c r="C3555" s="0" t="inlineStr">
        <is>
          <t>Caroline Women's Leggings</t>
        </is>
      </c>
      <c r="D3555" s="1">
        <v>99895</v>
      </c>
      <c r="E3555" s="0" t="inlineStr">
        <is>
          <t>CAROLINE:99895B-M</t>
        </is>
      </c>
      <c r="G3555" s="0" t="inlineStr">
        <is>
          <t>WOMENS</t>
        </is>
      </c>
      <c r="H3555" s="0" t="inlineStr">
        <is>
          <t>M</t>
        </is>
      </c>
      <c r="I3555" s="0">
        <v>44.99</v>
      </c>
      <c r="J3555" s="0">
        <v>53</v>
      </c>
    </row>
    <row r="3556" spans="1:10" customHeight="0">
      <c r="A3556" s="0">
        <f>HYPERLINK("https://dl.dropboxusercontent.com/scl/fi/0k8bbqthaxwwqmrkp3j5i/caroline.jpg?rlkey=zpxoaf16km5m8vdi8f7sh3gov&amp;dl=0","Click to download Image")</f>
      </c>
      <c r="C3556" s="0" t="inlineStr">
        <is>
          <t>Caroline Women's Leggings</t>
        </is>
      </c>
      <c r="D3556" s="1">
        <v>99895</v>
      </c>
      <c r="E3556" s="0" t="inlineStr">
        <is>
          <t>CAROLINE:99895C-L</t>
        </is>
      </c>
      <c r="G3556" s="0" t="inlineStr">
        <is>
          <t>WOMENS</t>
        </is>
      </c>
      <c r="H3556" s="0" t="inlineStr">
        <is>
          <t>L</t>
        </is>
      </c>
      <c r="I3556" s="0">
        <v>44.99</v>
      </c>
      <c r="J3556" s="0">
        <v>69</v>
      </c>
    </row>
    <row r="3557" spans="1:10" customHeight="0">
      <c r="A3557" s="0">
        <f>HYPERLINK("https://dl.dropboxusercontent.com/scl/fi/0k8bbqthaxwwqmrkp3j5i/caroline.jpg?rlkey=zpxoaf16km5m8vdi8f7sh3gov&amp;dl=0","Click to download Image")</f>
      </c>
      <c r="C3557" s="0" t="inlineStr">
        <is>
          <t>Caroline Women's Leggings</t>
        </is>
      </c>
      <c r="D3557" s="1">
        <v>99895</v>
      </c>
      <c r="E3557" s="0" t="inlineStr">
        <is>
          <t>CAROLINE:99895D-XL</t>
        </is>
      </c>
      <c r="G3557" s="0" t="inlineStr">
        <is>
          <t>WOMENS</t>
        </is>
      </c>
      <c r="H3557" s="0" t="inlineStr">
        <is>
          <t>XL</t>
        </is>
      </c>
      <c r="I3557" s="0">
        <v>44.99</v>
      </c>
      <c r="J3557" s="0">
        <v>73</v>
      </c>
    </row>
    <row r="3558" spans="1:10" customHeight="0">
      <c r="A3558" s="0">
        <f>HYPERLINK("https://dl.dropboxusercontent.com/scl/fi/0k8bbqthaxwwqmrkp3j5i/caroline.jpg?rlkey=zpxoaf16km5m8vdi8f7sh3gov&amp;dl=0","Click to download Image")</f>
      </c>
      <c r="C3558" s="0" t="inlineStr">
        <is>
          <t>Caroline Women's Leggings</t>
        </is>
      </c>
      <c r="D3558" s="1">
        <v>99895</v>
      </c>
      <c r="E3558" s="0" t="inlineStr">
        <is>
          <t>CAROLINE:99895E-2XL</t>
        </is>
      </c>
      <c r="G3558" s="0" t="inlineStr">
        <is>
          <t>WOMENS</t>
        </is>
      </c>
      <c r="H3558" s="0" t="inlineStr">
        <is>
          <t>2XL</t>
        </is>
      </c>
      <c r="I3558" s="0">
        <v>46.99</v>
      </c>
      <c r="J3558" s="0">
        <v>62</v>
      </c>
    </row>
    <row r="3559" spans="1:10" customHeight="0">
      <c r="A3559" s="0">
        <f>HYPERLINK("https://dl.dropboxusercontent.com/scl/fi/0k8bbqthaxwwqmrkp3j5i/caroline.jpg?rlkey=zpxoaf16km5m8vdi8f7sh3gov&amp;dl=0","Click to download Image")</f>
      </c>
      <c r="C3559" s="0" t="inlineStr">
        <is>
          <t>Caroline Women's Leggings</t>
        </is>
      </c>
      <c r="D3559" s="1">
        <v>99895</v>
      </c>
      <c r="E3559" s="0" t="inlineStr">
        <is>
          <t>CAROLINE:99895F-3XL</t>
        </is>
      </c>
      <c r="G3559" s="0" t="inlineStr">
        <is>
          <t>WOMENS</t>
        </is>
      </c>
      <c r="H3559" s="0" t="inlineStr">
        <is>
          <t>3XL</t>
        </is>
      </c>
      <c r="I3559" s="0">
        <v>46.99</v>
      </c>
      <c r="J3559" s="0">
        <v>8</v>
      </c>
    </row>
    <row r="3560" spans="1:10" customHeight="0">
      <c r="A3560" s="0">
        <f>HYPERLINK("https://dl.dropboxusercontent.com/scl/fi/7z2tyhrthfx6ddi5ff95g/ellist.jpg?rlkey=ay68lz17yi8sxxphmm78g2s7z&amp;dl=0","Click to download Image")</f>
      </c>
      <c r="B3560" s="0">
        <f>HYPERLINK("https://dl.dropboxusercontent.com/scl/fi/09nlpd4157uljur6svlft/mens-e-2.jpg?rlkey=6tw4nrzxbqj58b1vwqyvdd5c6&amp;dl=0","Click to download SizeChart")</f>
      </c>
      <c r="C3560" s="0" t="inlineStr">
        <is>
          <t>Ellis Men's Polo</t>
        </is>
      </c>
      <c r="D3560" s="1">
        <v>94646</v>
      </c>
      <c r="E3560" s="0" t="inlineStr">
        <is>
          <t>ELLIS:94646A - S</t>
        </is>
      </c>
      <c r="G3560" s="0" t="inlineStr">
        <is>
          <t>MENS</t>
        </is>
      </c>
      <c r="H3560" s="0" t="inlineStr">
        <is>
          <t>S</t>
        </is>
      </c>
      <c r="I3560" s="0">
        <v>39.99</v>
      </c>
      <c r="J3560" s="0">
        <v>40</v>
      </c>
    </row>
    <row r="3561" spans="1:10" customHeight="0">
      <c r="A3561" s="0">
        <f>HYPERLINK("https://dl.dropboxusercontent.com/scl/fi/7z2tyhrthfx6ddi5ff95g/ellist.jpg?rlkey=ay68lz17yi8sxxphmm78g2s7z&amp;dl=0","Click to download Image")</f>
      </c>
      <c r="B3561" s="0">
        <f>HYPERLINK("https://dl.dropboxusercontent.com/scl/fi/09nlpd4157uljur6svlft/mens-e-2.jpg?rlkey=6tw4nrzxbqj58b1vwqyvdd5c6&amp;dl=0","Click to download SizeChart")</f>
      </c>
      <c r="C3561" s="0" t="inlineStr">
        <is>
          <t>Ellis Men's Polo</t>
        </is>
      </c>
      <c r="D3561" s="1">
        <v>94646</v>
      </c>
      <c r="E3561" s="0" t="inlineStr">
        <is>
          <t>ELLIS:94646B - M</t>
        </is>
      </c>
      <c r="G3561" s="0" t="inlineStr">
        <is>
          <t>MENS</t>
        </is>
      </c>
      <c r="H3561" s="0" t="inlineStr">
        <is>
          <t>M</t>
        </is>
      </c>
      <c r="I3561" s="0">
        <v>39.99</v>
      </c>
      <c r="J3561" s="0">
        <v>56</v>
      </c>
    </row>
    <row r="3562" spans="1:10" customHeight="0">
      <c r="A3562" s="0">
        <f>HYPERLINK("https://dl.dropboxusercontent.com/scl/fi/7z2tyhrthfx6ddi5ff95g/ellist.jpg?rlkey=ay68lz17yi8sxxphmm78g2s7z&amp;dl=0","Click to download Image")</f>
      </c>
      <c r="B3562" s="0">
        <f>HYPERLINK("https://dl.dropboxusercontent.com/scl/fi/09nlpd4157uljur6svlft/mens-e-2.jpg?rlkey=6tw4nrzxbqj58b1vwqyvdd5c6&amp;dl=0","Click to download SizeChart")</f>
      </c>
      <c r="C3562" s="0" t="inlineStr">
        <is>
          <t>Ellis Men's Polo</t>
        </is>
      </c>
      <c r="D3562" s="1">
        <v>94646</v>
      </c>
      <c r="E3562" s="0" t="inlineStr">
        <is>
          <t>ELLIS:94646C - L</t>
        </is>
      </c>
      <c r="G3562" s="0" t="inlineStr">
        <is>
          <t>MENS</t>
        </is>
      </c>
      <c r="H3562" s="0" t="inlineStr">
        <is>
          <t>L</t>
        </is>
      </c>
      <c r="I3562" s="0">
        <v>39.99</v>
      </c>
      <c r="J3562" s="0">
        <v>80</v>
      </c>
    </row>
    <row r="3563" spans="1:10" customHeight="0">
      <c r="A3563" s="0">
        <f>HYPERLINK("https://dl.dropboxusercontent.com/scl/fi/7z2tyhrthfx6ddi5ff95g/ellist.jpg?rlkey=ay68lz17yi8sxxphmm78g2s7z&amp;dl=0","Click to download Image")</f>
      </c>
      <c r="B3563" s="0">
        <f>HYPERLINK("https://dl.dropboxusercontent.com/scl/fi/09nlpd4157uljur6svlft/mens-e-2.jpg?rlkey=6tw4nrzxbqj58b1vwqyvdd5c6&amp;dl=0","Click to download SizeChart")</f>
      </c>
      <c r="C3563" s="0" t="inlineStr">
        <is>
          <t>Ellis Men's Polo</t>
        </is>
      </c>
      <c r="D3563" s="1">
        <v>94646</v>
      </c>
      <c r="E3563" s="0" t="inlineStr">
        <is>
          <t>ELLIS:94646D - XL</t>
        </is>
      </c>
      <c r="G3563" s="0" t="inlineStr">
        <is>
          <t>MENS</t>
        </is>
      </c>
      <c r="H3563" s="0" t="inlineStr">
        <is>
          <t>XL</t>
        </is>
      </c>
      <c r="I3563" s="0">
        <v>39.99</v>
      </c>
      <c r="J3563" s="0">
        <v>49</v>
      </c>
    </row>
    <row r="3564" spans="1:10" customHeight="0">
      <c r="A3564" s="0">
        <f>HYPERLINK("https://dl.dropboxusercontent.com/scl/fi/7z2tyhrthfx6ddi5ff95g/ellist.jpg?rlkey=ay68lz17yi8sxxphmm78g2s7z&amp;dl=0","Click to download Image")</f>
      </c>
      <c r="B3564" s="0">
        <f>HYPERLINK("https://dl.dropboxusercontent.com/scl/fi/09nlpd4157uljur6svlft/mens-e-2.jpg?rlkey=6tw4nrzxbqj58b1vwqyvdd5c6&amp;dl=0","Click to download SizeChart")</f>
      </c>
      <c r="C3564" s="0" t="inlineStr">
        <is>
          <t>Ellis Men's Polo</t>
        </is>
      </c>
      <c r="D3564" s="1">
        <v>94646</v>
      </c>
      <c r="E3564" s="0" t="inlineStr">
        <is>
          <t>ELLIS:94646F - 3XL</t>
        </is>
      </c>
      <c r="G3564" s="0" t="inlineStr">
        <is>
          <t>MENS</t>
        </is>
      </c>
      <c r="H3564" s="0" t="inlineStr">
        <is>
          <t>3XL</t>
        </is>
      </c>
      <c r="I3564" s="0">
        <v>41.99</v>
      </c>
      <c r="J3564" s="0">
        <v>8</v>
      </c>
    </row>
    <row r="3565" spans="1:10" customHeight="0">
      <c r="A3565" s="0">
        <f>HYPERLINK("https://dl.dropboxusercontent.com/scl/fi/uh1nfan95z959vv2fo851/iris.jpg?rlkey=6a7le5vgi0ux4j95eqsa9h4su&amp;dl=0","Click to download Image")</f>
      </c>
      <c r="B3565" s="0">
        <f>HYPERLINK("https://dl.dropboxusercontent.com/scl/fi/aruuelimyzjb3ligl4vew/size-chartswomens-pants-n.jpg?rlkey=n5lg8zhhe7d7g054sujvocajw&amp;dl=0","Click to download SizeChart")</f>
      </c>
      <c r="C3565" s="0" t="inlineStr">
        <is>
          <t>Iris Women's Joggers</t>
        </is>
      </c>
      <c r="D3565" s="1">
        <v>101238</v>
      </c>
      <c r="E3565" s="0" t="inlineStr">
        <is>
          <t>IRIS:101238A-S</t>
        </is>
      </c>
      <c r="G3565" s="0" t="inlineStr">
        <is>
          <t>WOMENS</t>
        </is>
      </c>
      <c r="H3565" s="0" t="inlineStr">
        <is>
          <t>S</t>
        </is>
      </c>
      <c r="I3565" s="0">
        <v>29.99</v>
      </c>
      <c r="J3565" s="0">
        <v>39</v>
      </c>
    </row>
    <row r="3566" spans="1:10" customHeight="0">
      <c r="A3566" s="0">
        <f>HYPERLINK("https://dl.dropboxusercontent.com/scl/fi/uh1nfan95z959vv2fo851/iris.jpg?rlkey=6a7le5vgi0ux4j95eqsa9h4su&amp;dl=0","Click to download Image")</f>
      </c>
      <c r="B3566" s="0">
        <f>HYPERLINK("https://dl.dropboxusercontent.com/scl/fi/aruuelimyzjb3ligl4vew/size-chartswomens-pants-n.jpg?rlkey=n5lg8zhhe7d7g054sujvocajw&amp;dl=0","Click to download SizeChart")</f>
      </c>
      <c r="C3566" s="0" t="inlineStr">
        <is>
          <t>Iris Women's Joggers</t>
        </is>
      </c>
      <c r="D3566" s="1">
        <v>101238</v>
      </c>
      <c r="E3566" s="0" t="inlineStr">
        <is>
          <t>IRIS:101238B-M</t>
        </is>
      </c>
      <c r="G3566" s="0" t="inlineStr">
        <is>
          <t>WOMENS</t>
        </is>
      </c>
      <c r="H3566" s="0" t="inlineStr">
        <is>
          <t>M</t>
        </is>
      </c>
      <c r="I3566" s="0">
        <v>29.99</v>
      </c>
      <c r="J3566" s="0">
        <v>45</v>
      </c>
    </row>
    <row r="3567" spans="1:10" customHeight="0">
      <c r="A3567" s="0">
        <f>HYPERLINK("https://dl.dropboxusercontent.com/scl/fi/uh1nfan95z959vv2fo851/iris.jpg?rlkey=6a7le5vgi0ux4j95eqsa9h4su&amp;dl=0","Click to download Image")</f>
      </c>
      <c r="B3567" s="0">
        <f>HYPERLINK("https://dl.dropboxusercontent.com/scl/fi/aruuelimyzjb3ligl4vew/size-chartswomens-pants-n.jpg?rlkey=n5lg8zhhe7d7g054sujvocajw&amp;dl=0","Click to download SizeChart")</f>
      </c>
      <c r="C3567" s="0" t="inlineStr">
        <is>
          <t>Iris Women's Joggers</t>
        </is>
      </c>
      <c r="D3567" s="1">
        <v>101238</v>
      </c>
      <c r="E3567" s="0" t="inlineStr">
        <is>
          <t>IRIS:101238C-L</t>
        </is>
      </c>
      <c r="G3567" s="0" t="inlineStr">
        <is>
          <t>WOMENS</t>
        </is>
      </c>
      <c r="H3567" s="0" t="inlineStr">
        <is>
          <t>L</t>
        </is>
      </c>
      <c r="I3567" s="0">
        <v>29.99</v>
      </c>
      <c r="J3567" s="0">
        <v>56</v>
      </c>
    </row>
    <row r="3568" spans="1:10" customHeight="0">
      <c r="A3568" s="0">
        <f>HYPERLINK("https://dl.dropboxusercontent.com/scl/fi/uh1nfan95z959vv2fo851/iris.jpg?rlkey=6a7le5vgi0ux4j95eqsa9h4su&amp;dl=0","Click to download Image")</f>
      </c>
      <c r="B3568" s="0">
        <f>HYPERLINK("https://dl.dropboxusercontent.com/scl/fi/aruuelimyzjb3ligl4vew/size-chartswomens-pants-n.jpg?rlkey=n5lg8zhhe7d7g054sujvocajw&amp;dl=0","Click to download SizeChart")</f>
      </c>
      <c r="C3568" s="0" t="inlineStr">
        <is>
          <t>Iris Women's Joggers</t>
        </is>
      </c>
      <c r="D3568" s="1">
        <v>101238</v>
      </c>
      <c r="E3568" s="0" t="inlineStr">
        <is>
          <t>IRIS:101238D-XL</t>
        </is>
      </c>
      <c r="G3568" s="0" t="inlineStr">
        <is>
          <t>WOMENS</t>
        </is>
      </c>
      <c r="H3568" s="0" t="inlineStr">
        <is>
          <t>XL</t>
        </is>
      </c>
      <c r="I3568" s="0">
        <v>29.99</v>
      </c>
      <c r="J3568" s="0">
        <v>64</v>
      </c>
    </row>
    <row r="3569" spans="1:10" customHeight="0">
      <c r="A3569" s="0">
        <f>HYPERLINK("https://dl.dropboxusercontent.com/scl/fi/uh1nfan95z959vv2fo851/iris.jpg?rlkey=6a7le5vgi0ux4j95eqsa9h4su&amp;dl=0","Click to download Image")</f>
      </c>
      <c r="B3569" s="0">
        <f>HYPERLINK("https://dl.dropboxusercontent.com/scl/fi/aruuelimyzjb3ligl4vew/size-chartswomens-pants-n.jpg?rlkey=n5lg8zhhe7d7g054sujvocajw&amp;dl=0","Click to download SizeChart")</f>
      </c>
      <c r="C3569" s="0" t="inlineStr">
        <is>
          <t>Iris Women's Joggers</t>
        </is>
      </c>
      <c r="D3569" s="1">
        <v>101238</v>
      </c>
      <c r="E3569" s="0" t="inlineStr">
        <is>
          <t>IRIS:101238E-2XL</t>
        </is>
      </c>
      <c r="G3569" s="0" t="inlineStr">
        <is>
          <t>WOMENS</t>
        </is>
      </c>
      <c r="H3569" s="0" t="inlineStr">
        <is>
          <t>2XL</t>
        </is>
      </c>
      <c r="I3569" s="0">
        <v>29.99</v>
      </c>
      <c r="J3569" s="0">
        <v>54</v>
      </c>
    </row>
    <row r="3570" spans="1:10" customHeight="0">
      <c r="A3570" s="0">
        <f>HYPERLINK("https://dl.dropboxusercontent.com/scl/fi/uh1nfan95z959vv2fo851/iris.jpg?rlkey=6a7le5vgi0ux4j95eqsa9h4su&amp;dl=0","Click to download Image")</f>
      </c>
      <c r="B3570" s="0">
        <f>HYPERLINK("https://dl.dropboxusercontent.com/scl/fi/aruuelimyzjb3ligl4vew/size-chartswomens-pants-n.jpg?rlkey=n5lg8zhhe7d7g054sujvocajw&amp;dl=0","Click to download SizeChart")</f>
      </c>
      <c r="C3570" s="0" t="inlineStr">
        <is>
          <t>Iris Women's Joggers</t>
        </is>
      </c>
      <c r="D3570" s="1">
        <v>101238</v>
      </c>
      <c r="E3570" s="0" t="inlineStr">
        <is>
          <t>IRIS:101238F-3XL</t>
        </is>
      </c>
      <c r="G3570" s="0" t="inlineStr">
        <is>
          <t>WOMENS</t>
        </is>
      </c>
      <c r="H3570" s="0" t="inlineStr">
        <is>
          <t>3XL</t>
        </is>
      </c>
      <c r="I3570" s="0">
        <v>29.99</v>
      </c>
      <c r="J3570" s="0">
        <v>2</v>
      </c>
    </row>
    <row r="3571" spans="1:10" customHeight="0">
      <c r="A3571" s="0">
        <f>HYPERLINK("https://dl.dropboxusercontent.com/scl/fi/skwf3byr8aqs8bbvkyfan/hunter.jpg?rlkey=cjnr0472ihfux3fphin22wbtv&amp;dl=0","Click to download Image")</f>
      </c>
      <c r="B3571" s="0">
        <f>HYPERLINK("https://dl.dropboxusercontent.com/scl/fi/8d9tehdwygku8xdxpn7q0/ladies-h-1.jpg?rlkey=svkwoo5br20jc4mjre6ggztl6&amp;dl=0","Click to download SizeChart")</f>
      </c>
      <c r="C3571" s="0" t="inlineStr">
        <is>
          <t>Hunter Women's Camo Hoodie</t>
        </is>
      </c>
      <c r="D3571" s="1">
        <v>91817</v>
      </c>
      <c r="E3571" s="0" t="inlineStr">
        <is>
          <t>HUNTER:91817A-S</t>
        </is>
      </c>
      <c r="G3571" s="0" t="inlineStr">
        <is>
          <t>WOMENS</t>
        </is>
      </c>
      <c r="H3571" s="0" t="inlineStr">
        <is>
          <t>S</t>
        </is>
      </c>
      <c r="I3571" s="0">
        <v>49.99</v>
      </c>
      <c r="J3571" s="0">
        <v>20</v>
      </c>
    </row>
    <row r="3572" spans="1:10" customHeight="0">
      <c r="A3572" s="0">
        <f>HYPERLINK("https://dl.dropboxusercontent.com/scl/fi/skwf3byr8aqs8bbvkyfan/hunter.jpg?rlkey=cjnr0472ihfux3fphin22wbtv&amp;dl=0","Click to download Image")</f>
      </c>
      <c r="B3572" s="0">
        <f>HYPERLINK("https://dl.dropboxusercontent.com/scl/fi/8d9tehdwygku8xdxpn7q0/ladies-h-1.jpg?rlkey=svkwoo5br20jc4mjre6ggztl6&amp;dl=0","Click to download SizeChart")</f>
      </c>
      <c r="C3572" s="0" t="inlineStr">
        <is>
          <t>Hunter Women's Camo Hoodie</t>
        </is>
      </c>
      <c r="D3572" s="1">
        <v>91817</v>
      </c>
      <c r="E3572" s="0" t="inlineStr">
        <is>
          <t>HUNTER:91817B-M</t>
        </is>
      </c>
      <c r="G3572" s="0" t="inlineStr">
        <is>
          <t>WOMENS</t>
        </is>
      </c>
      <c r="H3572" s="0" t="inlineStr">
        <is>
          <t>M</t>
        </is>
      </c>
      <c r="I3572" s="0">
        <v>49.99</v>
      </c>
      <c r="J3572" s="0">
        <v>64</v>
      </c>
    </row>
    <row r="3573" spans="1:10" customHeight="0">
      <c r="A3573" s="0">
        <f>HYPERLINK("https://dl.dropboxusercontent.com/scl/fi/skwf3byr8aqs8bbvkyfan/hunter.jpg?rlkey=cjnr0472ihfux3fphin22wbtv&amp;dl=0","Click to download Image")</f>
      </c>
      <c r="B3573" s="0">
        <f>HYPERLINK("https://dl.dropboxusercontent.com/scl/fi/8d9tehdwygku8xdxpn7q0/ladies-h-1.jpg?rlkey=svkwoo5br20jc4mjre6ggztl6&amp;dl=0","Click to download SizeChart")</f>
      </c>
      <c r="C3573" s="0" t="inlineStr">
        <is>
          <t>Hunter Women's Camo Hoodie</t>
        </is>
      </c>
      <c r="D3573" s="1">
        <v>91817</v>
      </c>
      <c r="E3573" s="0" t="inlineStr">
        <is>
          <t>HUNTER:91817C-L</t>
        </is>
      </c>
      <c r="G3573" s="0" t="inlineStr">
        <is>
          <t>WOMENS</t>
        </is>
      </c>
      <c r="H3573" s="0" t="inlineStr">
        <is>
          <t>L</t>
        </is>
      </c>
      <c r="I3573" s="0">
        <v>49.99</v>
      </c>
      <c r="J3573" s="0">
        <v>42</v>
      </c>
    </row>
    <row r="3574" spans="1:10" customHeight="0">
      <c r="A3574" s="0">
        <f>HYPERLINK("https://dl.dropboxusercontent.com/scl/fi/skwf3byr8aqs8bbvkyfan/hunter.jpg?rlkey=cjnr0472ihfux3fphin22wbtv&amp;dl=0","Click to download Image")</f>
      </c>
      <c r="B3574" s="0">
        <f>HYPERLINK("https://dl.dropboxusercontent.com/scl/fi/8d9tehdwygku8xdxpn7q0/ladies-h-1.jpg?rlkey=svkwoo5br20jc4mjre6ggztl6&amp;dl=0","Click to download SizeChart")</f>
      </c>
      <c r="C3574" s="0" t="inlineStr">
        <is>
          <t>Hunter Women's Camo Hoodie</t>
        </is>
      </c>
      <c r="D3574" s="1">
        <v>91817</v>
      </c>
      <c r="E3574" s="0" t="inlineStr">
        <is>
          <t>HUNTER:91817D-XL</t>
        </is>
      </c>
      <c r="G3574" s="0" t="inlineStr">
        <is>
          <t>WOMENS</t>
        </is>
      </c>
      <c r="H3574" s="0" t="inlineStr">
        <is>
          <t>XL</t>
        </is>
      </c>
      <c r="I3574" s="0">
        <v>49.99</v>
      </c>
      <c r="J3574" s="0">
        <v>37</v>
      </c>
    </row>
    <row r="3575" spans="1:10" customHeight="0">
      <c r="A3575" s="0">
        <f>HYPERLINK("https://dl.dropboxusercontent.com/scl/fi/f56pm11bf5e6fry0t5q4q/intensity-01.jpg?rlkey=ygzmncqxzgl0qf82ut719y3co&amp;dl=0","Click to download Image")</f>
      </c>
      <c r="B3575" s="0">
        <f>HYPERLINK("https://dl.dropboxusercontent.com/scl/fi/c5b0qz47ui4d3vqh74ebu/mens-c.jpg?rlkey=ywh37mrxy4rqfyfdt8cuzzsq0&amp;dl=0","Click to download SizeChart")</f>
      </c>
      <c r="C3575" s="0" t="inlineStr">
        <is>
          <t>Intensity Men's Tank Top</t>
        </is>
      </c>
      <c r="D3575" s="1">
        <v>94202</v>
      </c>
      <c r="E3575" s="0" t="inlineStr">
        <is>
          <t>INTENSITY TANK:94202A-S</t>
        </is>
      </c>
      <c r="G3575" s="0" t="inlineStr">
        <is>
          <t>MENS</t>
        </is>
      </c>
      <c r="H3575" s="0" t="inlineStr">
        <is>
          <t>S</t>
        </is>
      </c>
      <c r="I3575" s="0">
        <v>34.99</v>
      </c>
      <c r="J3575" s="0">
        <v>37</v>
      </c>
    </row>
    <row r="3576" spans="1:10" customHeight="0">
      <c r="A3576" s="0">
        <f>HYPERLINK("https://dl.dropboxusercontent.com/scl/fi/f56pm11bf5e6fry0t5q4q/intensity-01.jpg?rlkey=ygzmncqxzgl0qf82ut719y3co&amp;dl=0","Click to download Image")</f>
      </c>
      <c r="B3576" s="0">
        <f>HYPERLINK("https://dl.dropboxusercontent.com/scl/fi/c5b0qz47ui4d3vqh74ebu/mens-c.jpg?rlkey=ywh37mrxy4rqfyfdt8cuzzsq0&amp;dl=0","Click to download SizeChart")</f>
      </c>
      <c r="C3576" s="0" t="inlineStr">
        <is>
          <t>Intensity Men's Tank Top</t>
        </is>
      </c>
      <c r="D3576" s="1">
        <v>94202</v>
      </c>
      <c r="E3576" s="0" t="inlineStr">
        <is>
          <t>INTENSITY TANK:94202B-M</t>
        </is>
      </c>
      <c r="G3576" s="0" t="inlineStr">
        <is>
          <t>MENS</t>
        </is>
      </c>
      <c r="H3576" s="0" t="inlineStr">
        <is>
          <t>M</t>
        </is>
      </c>
      <c r="I3576" s="0">
        <v>34.99</v>
      </c>
      <c r="J3576" s="0">
        <v>74</v>
      </c>
    </row>
    <row r="3577" spans="1:10" customHeight="0">
      <c r="A3577" s="0">
        <f>HYPERLINK("https://dl.dropboxusercontent.com/scl/fi/f56pm11bf5e6fry0t5q4q/intensity-01.jpg?rlkey=ygzmncqxzgl0qf82ut719y3co&amp;dl=0","Click to download Image")</f>
      </c>
      <c r="B3577" s="0">
        <f>HYPERLINK("https://dl.dropboxusercontent.com/scl/fi/c5b0qz47ui4d3vqh74ebu/mens-c.jpg?rlkey=ywh37mrxy4rqfyfdt8cuzzsq0&amp;dl=0","Click to download SizeChart")</f>
      </c>
      <c r="C3577" s="0" t="inlineStr">
        <is>
          <t>Intensity Men's Tank Top</t>
        </is>
      </c>
      <c r="D3577" s="1">
        <v>94202</v>
      </c>
      <c r="E3577" s="0" t="inlineStr">
        <is>
          <t>INTENSITY TANK:94202C-L</t>
        </is>
      </c>
      <c r="G3577" s="0" t="inlineStr">
        <is>
          <t>MENS</t>
        </is>
      </c>
      <c r="H3577" s="0" t="inlineStr">
        <is>
          <t>L</t>
        </is>
      </c>
      <c r="I3577" s="0">
        <v>34.99</v>
      </c>
      <c r="J3577" s="0">
        <v>122</v>
      </c>
    </row>
    <row r="3578" spans="1:10" customHeight="0">
      <c r="A3578" s="0">
        <f>HYPERLINK("https://dl.dropboxusercontent.com/scl/fi/f56pm11bf5e6fry0t5q4q/intensity-01.jpg?rlkey=ygzmncqxzgl0qf82ut719y3co&amp;dl=0","Click to download Image")</f>
      </c>
      <c r="B3578" s="0">
        <f>HYPERLINK("https://dl.dropboxusercontent.com/scl/fi/c5b0qz47ui4d3vqh74ebu/mens-c.jpg?rlkey=ywh37mrxy4rqfyfdt8cuzzsq0&amp;dl=0","Click to download SizeChart")</f>
      </c>
      <c r="C3578" s="0" t="inlineStr">
        <is>
          <t>Intensity Men's Tank Top</t>
        </is>
      </c>
      <c r="D3578" s="1">
        <v>94202</v>
      </c>
      <c r="E3578" s="0" t="inlineStr">
        <is>
          <t>INTENSITY TANK:94202D-XL</t>
        </is>
      </c>
      <c r="G3578" s="0" t="inlineStr">
        <is>
          <t>MENS</t>
        </is>
      </c>
      <c r="H3578" s="0" t="inlineStr">
        <is>
          <t>XL</t>
        </is>
      </c>
      <c r="I3578" s="0">
        <v>34.99</v>
      </c>
      <c r="J3578" s="0">
        <v>124</v>
      </c>
    </row>
    <row r="3579" spans="1:10" customHeight="0">
      <c r="A3579" s="0">
        <f>HYPERLINK("https://dl.dropboxusercontent.com/scl/fi/f56pm11bf5e6fry0t5q4q/intensity-01.jpg?rlkey=ygzmncqxzgl0qf82ut719y3co&amp;dl=0","Click to download Image")</f>
      </c>
      <c r="B3579" s="0">
        <f>HYPERLINK("https://dl.dropboxusercontent.com/scl/fi/c5b0qz47ui4d3vqh74ebu/mens-c.jpg?rlkey=ywh37mrxy4rqfyfdt8cuzzsq0&amp;dl=0","Click to download SizeChart")</f>
      </c>
      <c r="C3579" s="0" t="inlineStr">
        <is>
          <t>Intensity Men's Tank Top</t>
        </is>
      </c>
      <c r="D3579" s="1">
        <v>94202</v>
      </c>
      <c r="E3579" s="0" t="inlineStr">
        <is>
          <t>INTENSITY TANK:94202E-2X</t>
        </is>
      </c>
      <c r="G3579" s="0" t="inlineStr">
        <is>
          <t>MENS</t>
        </is>
      </c>
      <c r="H3579" s="0" t="inlineStr">
        <is>
          <t>2XL</t>
        </is>
      </c>
      <c r="I3579" s="0">
        <v>36.99</v>
      </c>
      <c r="J3579" s="0">
        <v>77</v>
      </c>
    </row>
    <row r="3580" spans="1:10" customHeight="0">
      <c r="A3580" s="0">
        <f>HYPERLINK("https://dl.dropboxusercontent.com/scl/fi/f56pm11bf5e6fry0t5q4q/intensity-01.jpg?rlkey=ygzmncqxzgl0qf82ut719y3co&amp;dl=0","Click to download Image")</f>
      </c>
      <c r="B3580" s="0">
        <f>HYPERLINK("https://dl.dropboxusercontent.com/scl/fi/c5b0qz47ui4d3vqh74ebu/mens-c.jpg?rlkey=ywh37mrxy4rqfyfdt8cuzzsq0&amp;dl=0","Click to download SizeChart")</f>
      </c>
      <c r="C3580" s="0" t="inlineStr">
        <is>
          <t>Intensity Men's Tank Top</t>
        </is>
      </c>
      <c r="D3580" s="1">
        <v>94202</v>
      </c>
      <c r="E3580" s="0" t="inlineStr">
        <is>
          <t>INTENSITY TANK:94202F-3X</t>
        </is>
      </c>
      <c r="G3580" s="0" t="inlineStr">
        <is>
          <t>MENS</t>
        </is>
      </c>
      <c r="H3580" s="0" t="inlineStr">
        <is>
          <t>3XL</t>
        </is>
      </c>
      <c r="I3580" s="0">
        <v>36.99</v>
      </c>
      <c r="J3580" s="0">
        <v>40</v>
      </c>
    </row>
    <row r="3581" spans="1:10" customHeight="0">
      <c r="A3581" s="0">
        <f>HYPERLINK("https://dl.dropboxusercontent.com/scl/fi/p8v4td0vjavzpyvppt7i9/intensity-02.jpg?rlkey=p1bpjg1p5neg9sa9hs1y8v3vp&amp;dl=0","Click to download Image")</f>
      </c>
      <c r="B3581" s="0">
        <f>HYPERLINK("https://dl.dropboxusercontent.com/scl/fi/6x2zr3vju7g9oivl994fy/size-chartmens-g.jpg?rlkey=7jlakpikwx0ymlywtx2ts147h&amp;dl=0","Click to download SizeChart")</f>
      </c>
      <c r="C3581" s="0" t="inlineStr">
        <is>
          <t>Intensity Men's Athletic Shorts</t>
        </is>
      </c>
      <c r="D3581" s="1">
        <v>94565</v>
      </c>
      <c r="E3581" s="0" t="inlineStr">
        <is>
          <t>INTENSITY SHORTS:94565A-S</t>
        </is>
      </c>
      <c r="G3581" s="0" t="inlineStr">
        <is>
          <t>MENS</t>
        </is>
      </c>
      <c r="H3581" s="0" t="inlineStr">
        <is>
          <t>S</t>
        </is>
      </c>
      <c r="I3581" s="0">
        <v>34.99</v>
      </c>
      <c r="J3581" s="0">
        <v>5</v>
      </c>
    </row>
    <row r="3582" spans="1:10" customHeight="0">
      <c r="A3582" s="0">
        <f>HYPERLINK("https://dl.dropboxusercontent.com/scl/fi/p8v4td0vjavzpyvppt7i9/intensity-02.jpg?rlkey=p1bpjg1p5neg9sa9hs1y8v3vp&amp;dl=0","Click to download Image")</f>
      </c>
      <c r="B3582" s="0">
        <f>HYPERLINK("https://dl.dropboxusercontent.com/scl/fi/6x2zr3vju7g9oivl994fy/size-chartmens-g.jpg?rlkey=7jlakpikwx0ymlywtx2ts147h&amp;dl=0","Click to download SizeChart")</f>
      </c>
      <c r="C3582" s="0" t="inlineStr">
        <is>
          <t>Intensity Men's Athletic Shorts</t>
        </is>
      </c>
      <c r="D3582" s="1">
        <v>94565</v>
      </c>
      <c r="E3582" s="0" t="inlineStr">
        <is>
          <t>INTENSITY SHORTS:94565D-XL</t>
        </is>
      </c>
      <c r="G3582" s="0" t="inlineStr">
        <is>
          <t>MENS</t>
        </is>
      </c>
      <c r="H3582" s="0" t="inlineStr">
        <is>
          <t>XL</t>
        </is>
      </c>
      <c r="I3582" s="0">
        <v>34.99</v>
      </c>
      <c r="J3582" s="0">
        <v>14</v>
      </c>
    </row>
    <row r="3583" spans="1:10" customHeight="0">
      <c r="A3583" s="0">
        <f>HYPERLINK("https://dl.dropboxusercontent.com/scl/fi/p8v4td0vjavzpyvppt7i9/intensity-02.jpg?rlkey=p1bpjg1p5neg9sa9hs1y8v3vp&amp;dl=0","Click to download Image")</f>
      </c>
      <c r="B3583" s="0">
        <f>HYPERLINK("https://dl.dropboxusercontent.com/scl/fi/6x2zr3vju7g9oivl994fy/size-chartmens-g.jpg?rlkey=7jlakpikwx0ymlywtx2ts147h&amp;dl=0","Click to download SizeChart")</f>
      </c>
      <c r="C3583" s="0" t="inlineStr">
        <is>
          <t>Intensity Men's Athletic Shorts</t>
        </is>
      </c>
      <c r="D3583" s="1">
        <v>94565</v>
      </c>
      <c r="E3583" s="0" t="inlineStr">
        <is>
          <t>INTENSITY SHORTS:94565E-2X</t>
        </is>
      </c>
      <c r="G3583" s="0" t="inlineStr">
        <is>
          <t>MENS</t>
        </is>
      </c>
      <c r="H3583" s="0" t="inlineStr">
        <is>
          <t>2XL</t>
        </is>
      </c>
      <c r="I3583" s="0">
        <v>36.99</v>
      </c>
      <c r="J3583" s="0">
        <v>17</v>
      </c>
    </row>
    <row r="3584" spans="1:10" customHeight="0">
      <c r="A3584" s="0">
        <f>HYPERLINK("https://dl.dropboxusercontent.com/scl/fi/p8v4td0vjavzpyvppt7i9/intensity-02.jpg?rlkey=p1bpjg1p5neg9sa9hs1y8v3vp&amp;dl=0","Click to download Image")</f>
      </c>
      <c r="B3584" s="0">
        <f>HYPERLINK("https://dl.dropboxusercontent.com/scl/fi/6x2zr3vju7g9oivl994fy/size-chartmens-g.jpg?rlkey=7jlakpikwx0ymlywtx2ts147h&amp;dl=0","Click to download SizeChart")</f>
      </c>
      <c r="C3584" s="0" t="inlineStr">
        <is>
          <t>Intensity Men's Athletic Shorts</t>
        </is>
      </c>
      <c r="D3584" s="1">
        <v>94565</v>
      </c>
      <c r="E3584" s="0" t="inlineStr">
        <is>
          <t>INTENSITY SHORTS:94565F-3XL</t>
        </is>
      </c>
      <c r="G3584" s="0" t="inlineStr">
        <is>
          <t>MENS</t>
        </is>
      </c>
      <c r="H3584" s="0" t="inlineStr">
        <is>
          <t>3XL</t>
        </is>
      </c>
      <c r="I3584" s="0">
        <v>36.99</v>
      </c>
      <c r="J3584" s="0">
        <v>5</v>
      </c>
    </row>
    <row r="3585" spans="1:10" customHeight="0">
      <c r="A3585" s="0">
        <f>HYPERLINK("https://dl.dropboxusercontent.com/scl/fi/8tp2se89qd0kz51hizyd1/cameron.jpg?rlkey=1nc2ni0t0nvo9plp45b3uqjap&amp;dl=0","Click to download Image")</f>
      </c>
      <c r="C3585" s="0" t="inlineStr">
        <is>
          <t>Cameron Men's Polo</t>
        </is>
      </c>
      <c r="D3585" s="1">
        <v>96925</v>
      </c>
      <c r="E3585" s="0" t="inlineStr">
        <is>
          <t>CAMERON:96925A-S</t>
        </is>
      </c>
      <c r="G3585" s="0" t="inlineStr">
        <is>
          <t>MENS</t>
        </is>
      </c>
      <c r="H3585" s="0" t="inlineStr">
        <is>
          <t>S</t>
        </is>
      </c>
      <c r="I3585" s="0">
        <v>44.99</v>
      </c>
      <c r="J3585" s="0">
        <v>33</v>
      </c>
    </row>
    <row r="3586" spans="1:10" customHeight="0">
      <c r="A3586" s="0">
        <f>HYPERLINK("https://dl.dropboxusercontent.com/scl/fi/8tp2se89qd0kz51hizyd1/cameron.jpg?rlkey=1nc2ni0t0nvo9plp45b3uqjap&amp;dl=0","Click to download Image")</f>
      </c>
      <c r="C3586" s="0" t="inlineStr">
        <is>
          <t>Cameron Men's Polo</t>
        </is>
      </c>
      <c r="D3586" s="1">
        <v>96925</v>
      </c>
      <c r="E3586" s="0" t="inlineStr">
        <is>
          <t>CAMERON:96925B-M</t>
        </is>
      </c>
      <c r="G3586" s="0" t="inlineStr">
        <is>
          <t>MENS</t>
        </is>
      </c>
      <c r="H3586" s="0" t="inlineStr">
        <is>
          <t>M</t>
        </is>
      </c>
      <c r="I3586" s="0">
        <v>44.99</v>
      </c>
      <c r="J3586" s="0">
        <v>65</v>
      </c>
    </row>
    <row r="3587" spans="1:10" customHeight="0">
      <c r="A3587" s="0">
        <f>HYPERLINK("https://dl.dropboxusercontent.com/scl/fi/8tp2se89qd0kz51hizyd1/cameron.jpg?rlkey=1nc2ni0t0nvo9plp45b3uqjap&amp;dl=0","Click to download Image")</f>
      </c>
      <c r="C3587" s="0" t="inlineStr">
        <is>
          <t>Cameron Men's Polo</t>
        </is>
      </c>
      <c r="D3587" s="1">
        <v>96925</v>
      </c>
      <c r="E3587" s="0" t="inlineStr">
        <is>
          <t>CAMERON:96925C-L</t>
        </is>
      </c>
      <c r="G3587" s="0" t="inlineStr">
        <is>
          <t>MENS</t>
        </is>
      </c>
      <c r="H3587" s="0" t="inlineStr">
        <is>
          <t>L</t>
        </is>
      </c>
      <c r="I3587" s="0">
        <v>44.99</v>
      </c>
      <c r="J3587" s="0">
        <v>109</v>
      </c>
    </row>
    <row r="3588" spans="1:10" customHeight="0">
      <c r="A3588" s="0">
        <f>HYPERLINK("https://dl.dropboxusercontent.com/scl/fi/8tp2se89qd0kz51hizyd1/cameron.jpg?rlkey=1nc2ni0t0nvo9plp45b3uqjap&amp;dl=0","Click to download Image")</f>
      </c>
      <c r="C3588" s="0" t="inlineStr">
        <is>
          <t>Cameron Men's Polo</t>
        </is>
      </c>
      <c r="D3588" s="1">
        <v>96925</v>
      </c>
      <c r="E3588" s="0" t="inlineStr">
        <is>
          <t>CAMERON:96925D-XL</t>
        </is>
      </c>
      <c r="G3588" s="0" t="inlineStr">
        <is>
          <t>MENS</t>
        </is>
      </c>
      <c r="H3588" s="0" t="inlineStr">
        <is>
          <t>XL</t>
        </is>
      </c>
      <c r="I3588" s="0">
        <v>44.99</v>
      </c>
      <c r="J3588" s="0">
        <v>103</v>
      </c>
    </row>
    <row r="3589" spans="1:10" customHeight="0">
      <c r="A3589" s="0">
        <f>HYPERLINK("https://dl.dropboxusercontent.com/scl/fi/8tp2se89qd0kz51hizyd1/cameron.jpg?rlkey=1nc2ni0t0nvo9plp45b3uqjap&amp;dl=0","Click to download Image")</f>
      </c>
      <c r="C3589" s="0" t="inlineStr">
        <is>
          <t>Cameron Men's Polo</t>
        </is>
      </c>
      <c r="D3589" s="1">
        <v>96925</v>
      </c>
      <c r="E3589" s="0" t="inlineStr">
        <is>
          <t>CAMERON:96925E-2XL</t>
        </is>
      </c>
      <c r="G3589" s="0" t="inlineStr">
        <is>
          <t>MENS</t>
        </is>
      </c>
      <c r="H3589" s="0" t="inlineStr">
        <is>
          <t>2XL</t>
        </is>
      </c>
      <c r="I3589" s="0">
        <v>46.99</v>
      </c>
      <c r="J3589" s="0">
        <v>64</v>
      </c>
    </row>
    <row r="3590" spans="1:10" customHeight="0">
      <c r="A3590" s="0">
        <f>HYPERLINK("https://dl.dropboxusercontent.com/scl/fi/8tp2se89qd0kz51hizyd1/cameron.jpg?rlkey=1nc2ni0t0nvo9plp45b3uqjap&amp;dl=0","Click to download Image")</f>
      </c>
      <c r="C3590" s="0" t="inlineStr">
        <is>
          <t>Cameron Men's Polo</t>
        </is>
      </c>
      <c r="D3590" s="1">
        <v>96925</v>
      </c>
      <c r="E3590" s="0" t="inlineStr">
        <is>
          <t>CAMERON:96925F-3XL</t>
        </is>
      </c>
      <c r="G3590" s="0" t="inlineStr">
        <is>
          <t>MENS</t>
        </is>
      </c>
      <c r="H3590" s="0" t="inlineStr">
        <is>
          <t>3XL</t>
        </is>
      </c>
      <c r="I3590" s="0">
        <v>46.99</v>
      </c>
      <c r="J3590" s="0">
        <v>29</v>
      </c>
    </row>
    <row r="3591" spans="1:10" customHeight="0">
      <c r="A3591" s="0">
        <f>HYPERLINK("https://dl.dropboxusercontent.com/scl/fi/vdraq7mod58fiz4ku7ysy/ingrid-02.jpg?rlkey=gf8nunf6hbm06ok8f408mupzx&amp;dl=0","Click to download Image")</f>
      </c>
      <c r="B3591" s="0">
        <f>HYPERLINK("https://dl.dropboxusercontent.com/scl/fi/b0k2098ob85nikn3rt9rg/size-chartinfant-toddler-b.jpg?rlkey=62lkrcem1ak7sf64rk842ux8a&amp;dl=0","Click to download SizeChart")</f>
      </c>
      <c r="C3591" s="0" t="inlineStr">
        <is>
          <t>Ingrid Infant Sundress</t>
        </is>
      </c>
      <c r="D3591" s="1">
        <v>99831</v>
      </c>
      <c r="E3591" s="0" t="inlineStr">
        <is>
          <t>INGRID:99831-6M</t>
        </is>
      </c>
      <c r="G3591" s="0" t="inlineStr">
        <is>
          <t>INFANT</t>
        </is>
      </c>
      <c r="H3591" s="0" t="inlineStr">
        <is>
          <t>6M</t>
        </is>
      </c>
      <c r="I3591" s="0">
        <v>26.99</v>
      </c>
      <c r="J3591" s="0">
        <v>52</v>
      </c>
    </row>
    <row r="3592" spans="1:10" customHeight="0">
      <c r="A3592" s="0">
        <f>HYPERLINK("https://dl.dropboxusercontent.com/scl/fi/vdraq7mod58fiz4ku7ysy/ingrid-02.jpg?rlkey=gf8nunf6hbm06ok8f408mupzx&amp;dl=0","Click to download Image")</f>
      </c>
      <c r="B3592" s="0">
        <f>HYPERLINK("https://dl.dropboxusercontent.com/scl/fi/b0k2098ob85nikn3rt9rg/size-chartinfant-toddler-b.jpg?rlkey=62lkrcem1ak7sf64rk842ux8a&amp;dl=0","Click to download SizeChart")</f>
      </c>
      <c r="C3592" s="0" t="inlineStr">
        <is>
          <t>Ingrid Infant Sundress</t>
        </is>
      </c>
      <c r="D3592" s="1">
        <v>99831</v>
      </c>
      <c r="E3592" s="0" t="inlineStr">
        <is>
          <t>INGRID:99831-12M</t>
        </is>
      </c>
      <c r="G3592" s="0" t="inlineStr">
        <is>
          <t>INFANT</t>
        </is>
      </c>
      <c r="H3592" s="0" t="inlineStr">
        <is>
          <t>12M</t>
        </is>
      </c>
      <c r="I3592" s="0">
        <v>26.99</v>
      </c>
      <c r="J3592" s="0">
        <v>47</v>
      </c>
    </row>
    <row r="3593" spans="1:10" customHeight="0">
      <c r="A3593" s="0">
        <f>HYPERLINK("https://dl.dropboxusercontent.com/scl/fi/vdraq7mod58fiz4ku7ysy/ingrid-02.jpg?rlkey=gf8nunf6hbm06ok8f408mupzx&amp;dl=0","Click to download Image")</f>
      </c>
      <c r="B3593" s="0">
        <f>HYPERLINK("https://dl.dropboxusercontent.com/scl/fi/b0k2098ob85nikn3rt9rg/size-chartinfant-toddler-b.jpg?rlkey=62lkrcem1ak7sf64rk842ux8a&amp;dl=0","Click to download SizeChart")</f>
      </c>
      <c r="C3593" s="0" t="inlineStr">
        <is>
          <t>Ingrid Infant Sundress</t>
        </is>
      </c>
      <c r="D3593" s="1">
        <v>99831</v>
      </c>
      <c r="E3593" s="0" t="inlineStr">
        <is>
          <t>INGRID:99831-18M</t>
        </is>
      </c>
      <c r="G3593" s="0" t="inlineStr">
        <is>
          <t>INFANT</t>
        </is>
      </c>
      <c r="H3593" s="0" t="inlineStr">
        <is>
          <t>18M</t>
        </is>
      </c>
      <c r="I3593" s="0">
        <v>26.99</v>
      </c>
      <c r="J3593" s="0">
        <v>19</v>
      </c>
    </row>
    <row r="3594" spans="1:10" customHeight="0">
      <c r="A3594" s="0">
        <f>HYPERLINK("https://dl.dropboxusercontent.com/scl/fi/vdraq7mod58fiz4ku7ysy/ingrid-02.jpg?rlkey=gf8nunf6hbm06ok8f408mupzx&amp;dl=0","Click to download Image")</f>
      </c>
      <c r="B3594" s="0">
        <f>HYPERLINK("https://dl.dropboxusercontent.com/scl/fi/b0k2098ob85nikn3rt9rg/size-chartinfant-toddler-b.jpg?rlkey=62lkrcem1ak7sf64rk842ux8a&amp;dl=0","Click to download SizeChart")</f>
      </c>
      <c r="C3594" s="0" t="inlineStr">
        <is>
          <t>Ingrid Infant Sundress</t>
        </is>
      </c>
      <c r="D3594" s="1">
        <v>99831</v>
      </c>
      <c r="E3594" s="0" t="inlineStr">
        <is>
          <t>INGRID:99831-24M</t>
        </is>
      </c>
      <c r="G3594" s="0" t="inlineStr">
        <is>
          <t>INFANT</t>
        </is>
      </c>
      <c r="H3594" s="0" t="inlineStr">
        <is>
          <t>24M</t>
        </is>
      </c>
      <c r="I3594" s="0">
        <v>26.99</v>
      </c>
      <c r="J3594" s="0">
        <v>7</v>
      </c>
    </row>
    <row r="3595" spans="1:10" customHeight="0">
      <c r="A3595" s="0">
        <f>HYPERLINK("https://dl.dropboxusercontent.com/scl/fi/ujr4krfp1ixerchj48hew/ia-premium.jpg?rlkey=3awwqtytbt20id4vj6t1heiji&amp;dl=0","Click to download Image")</f>
      </c>
      <c r="C3595" s="0" t="inlineStr">
        <is>
          <t>Premium Printed Reusable Face Mask 6pk</t>
        </is>
      </c>
      <c r="D3595" s="0" t="inlineStr">
        <is>
          <t>119004PK</t>
        </is>
      </c>
      <c r="E3595" s="0" t="inlineStr">
        <is>
          <t>IOWA PREMIUM MASK:119004PK</t>
        </is>
      </c>
      <c r="I3595" s="0">
        <v>89.99</v>
      </c>
      <c r="J3595" s="0">
        <v>120</v>
      </c>
    </row>
    <row r="3596" spans="1:10" customHeight="0">
      <c r="A3596" s="0">
        <f>HYPERLINK("https://dl.dropboxusercontent.com/scl/fi/nc7k6hiqd6k93e6p16edw/94381-1.jpg?rlkey=94pl0tv33bl4w4x1mp61431l7&amp;dl=0","Click to download Image")</f>
      </c>
      <c r="B3596" s="0">
        <f>HYPERLINK("https://dl.dropboxusercontent.com/scl/fi/uw0qbgrnvbk4n1ckzuum4/size-chartladies-c.jpg?rlkey=onbcuj5lks3c8qnm7jfk5sv9j&amp;dl=0","Click to download SizeChart")</f>
      </c>
      <c r="C3596" s="0" t="inlineStr">
        <is>
          <t>Blitz Women's Jacket</t>
        </is>
      </c>
      <c r="D3596" s="1">
        <v>94381</v>
      </c>
      <c r="E3596" s="0" t="inlineStr">
        <is>
          <t>BLITZ:94381A-S</t>
        </is>
      </c>
      <c r="G3596" s="0" t="inlineStr">
        <is>
          <t>WOMENS</t>
        </is>
      </c>
      <c r="H3596" s="0" t="inlineStr">
        <is>
          <t>S</t>
        </is>
      </c>
      <c r="I3596" s="0">
        <v>45.99</v>
      </c>
      <c r="J3596" s="0">
        <v>0</v>
      </c>
    </row>
    <row r="3597" spans="1:10" customHeight="0">
      <c r="A3597" s="0">
        <f>HYPERLINK("https://dl.dropboxusercontent.com/scl/fi/nc7k6hiqd6k93e6p16edw/94381-1.jpg?rlkey=94pl0tv33bl4w4x1mp61431l7&amp;dl=0","Click to download Image")</f>
      </c>
      <c r="B3597" s="0">
        <f>HYPERLINK("https://dl.dropboxusercontent.com/scl/fi/uw0qbgrnvbk4n1ckzuum4/size-chartladies-c.jpg?rlkey=onbcuj5lks3c8qnm7jfk5sv9j&amp;dl=0","Click to download SizeChart")</f>
      </c>
      <c r="C3597" s="0" t="inlineStr">
        <is>
          <t>Blitz Women's Jacket</t>
        </is>
      </c>
      <c r="D3597" s="1">
        <v>94381</v>
      </c>
      <c r="E3597" s="0" t="inlineStr">
        <is>
          <t>BLITZ:94381B-M</t>
        </is>
      </c>
      <c r="G3597" s="0" t="inlineStr">
        <is>
          <t>WOMENS</t>
        </is>
      </c>
      <c r="H3597" s="0" t="inlineStr">
        <is>
          <t>M</t>
        </is>
      </c>
      <c r="I3597" s="0">
        <v>45.99</v>
      </c>
      <c r="J3597" s="0">
        <v>1</v>
      </c>
    </row>
    <row r="3598" spans="1:10" customHeight="0">
      <c r="A3598" s="0">
        <f>HYPERLINK("https://dl.dropboxusercontent.com/scl/fi/nc7k6hiqd6k93e6p16edw/94381-1.jpg?rlkey=94pl0tv33bl4w4x1mp61431l7&amp;dl=0","Click to download Image")</f>
      </c>
      <c r="B3598" s="0">
        <f>HYPERLINK("https://dl.dropboxusercontent.com/scl/fi/uw0qbgrnvbk4n1ckzuum4/size-chartladies-c.jpg?rlkey=onbcuj5lks3c8qnm7jfk5sv9j&amp;dl=0","Click to download SizeChart")</f>
      </c>
      <c r="C3598" s="0" t="inlineStr">
        <is>
          <t>Blitz Women's Jacket</t>
        </is>
      </c>
      <c r="D3598" s="1">
        <v>94381</v>
      </c>
      <c r="E3598" s="0" t="inlineStr">
        <is>
          <t>BLITZ:94381C-L</t>
        </is>
      </c>
      <c r="G3598" s="0" t="inlineStr">
        <is>
          <t>WOMENS</t>
        </is>
      </c>
      <c r="H3598" s="0" t="inlineStr">
        <is>
          <t>L</t>
        </is>
      </c>
      <c r="I3598" s="0">
        <v>45.99</v>
      </c>
      <c r="J3598" s="0">
        <v>34</v>
      </c>
    </row>
    <row r="3599" spans="1:10" customHeight="0">
      <c r="A3599" s="0">
        <f>HYPERLINK("https://dl.dropboxusercontent.com/scl/fi/nc7k6hiqd6k93e6p16edw/94381-1.jpg?rlkey=94pl0tv33bl4w4x1mp61431l7&amp;dl=0","Click to download Image")</f>
      </c>
      <c r="B3599" s="0">
        <f>HYPERLINK("https://dl.dropboxusercontent.com/scl/fi/uw0qbgrnvbk4n1ckzuum4/size-chartladies-c.jpg?rlkey=onbcuj5lks3c8qnm7jfk5sv9j&amp;dl=0","Click to download SizeChart")</f>
      </c>
      <c r="C3599" s="0" t="inlineStr">
        <is>
          <t>Blitz Women's Jacket</t>
        </is>
      </c>
      <c r="D3599" s="1">
        <v>94381</v>
      </c>
      <c r="E3599" s="0" t="inlineStr">
        <is>
          <t>BLITZ:94381D-XL</t>
        </is>
      </c>
      <c r="G3599" s="0" t="inlineStr">
        <is>
          <t>WOMENS</t>
        </is>
      </c>
      <c r="H3599" s="0" t="inlineStr">
        <is>
          <t>XL</t>
        </is>
      </c>
      <c r="I3599" s="0">
        <v>45.99</v>
      </c>
      <c r="J3599" s="0">
        <v>1</v>
      </c>
    </row>
    <row r="3600" spans="1:10" customHeight="0">
      <c r="A3600" s="0">
        <f>HYPERLINK("https://dl.dropboxusercontent.com/scl/fi/nc7k6hiqd6k93e6p16edw/94381-1.jpg?rlkey=94pl0tv33bl4w4x1mp61431l7&amp;dl=0","Click to download Image")</f>
      </c>
      <c r="B3600" s="0">
        <f>HYPERLINK("https://dl.dropboxusercontent.com/scl/fi/uw0qbgrnvbk4n1ckzuum4/size-chartladies-c.jpg?rlkey=onbcuj5lks3c8qnm7jfk5sv9j&amp;dl=0","Click to download SizeChart")</f>
      </c>
      <c r="C3600" s="0" t="inlineStr">
        <is>
          <t>Blitz Women's Jacket</t>
        </is>
      </c>
      <c r="D3600" s="1">
        <v>94381</v>
      </c>
      <c r="E3600" s="0" t="inlineStr">
        <is>
          <t>BLITZ:94381E-2XL</t>
        </is>
      </c>
      <c r="G3600" s="0" t="inlineStr">
        <is>
          <t>WOMENS</t>
        </is>
      </c>
      <c r="H3600" s="0" t="inlineStr">
        <is>
          <t>2XL</t>
        </is>
      </c>
      <c r="I3600" s="0">
        <v>45.99</v>
      </c>
      <c r="J3600" s="0">
        <v>1</v>
      </c>
    </row>
    <row r="3601" spans="1:10" customHeight="0">
      <c r="A3601" s="0">
        <f>HYPERLINK("https://dl.dropboxusercontent.com/scl/fi/jhu16mkzbnhhmuxovz7cv/98716af.jpg?rlkey=mn648gk7w5a9oz62q04z8kb0c&amp;dl=0","Click to download Image")</f>
      </c>
      <c r="B3601" s="0">
        <f>HYPERLINK("https://dl.dropboxusercontent.com/scl/fi/auzd2zpf5s5g8fyik7pk1/mens-a.jpg?rlkey=tdtia9o2l5gtyp72w4tflg8ww&amp;dl=0","Click to download SizeChart")</f>
      </c>
      <c r="C3601" s="0" t="inlineStr">
        <is>
          <t>Bryan Men's Polo</t>
        </is>
      </c>
      <c r="D3601" s="1">
        <v>98716</v>
      </c>
      <c r="E3601" s="0" t="inlineStr">
        <is>
          <t>BRYAN:98716A-S</t>
        </is>
      </c>
      <c r="G3601" s="0" t="inlineStr">
        <is>
          <t>MENS</t>
        </is>
      </c>
      <c r="H3601" s="0" t="inlineStr">
        <is>
          <t>S</t>
        </is>
      </c>
      <c r="I3601" s="0">
        <v>49.99</v>
      </c>
      <c r="J3601" s="0">
        <v>66</v>
      </c>
    </row>
    <row r="3602" spans="1:10" customHeight="0">
      <c r="A3602" s="0">
        <f>HYPERLINK("https://dl.dropboxusercontent.com/scl/fi/jhu16mkzbnhhmuxovz7cv/98716af.jpg?rlkey=mn648gk7w5a9oz62q04z8kb0c&amp;dl=0","Click to download Image")</f>
      </c>
      <c r="B3602" s="0">
        <f>HYPERLINK("https://dl.dropboxusercontent.com/scl/fi/auzd2zpf5s5g8fyik7pk1/mens-a.jpg?rlkey=tdtia9o2l5gtyp72w4tflg8ww&amp;dl=0","Click to download SizeChart")</f>
      </c>
      <c r="C3602" s="0" t="inlineStr">
        <is>
          <t>Bryan Men's Polo</t>
        </is>
      </c>
      <c r="D3602" s="1">
        <v>98716</v>
      </c>
      <c r="E3602" s="0" t="inlineStr">
        <is>
          <t>BRYAN:98716B-M</t>
        </is>
      </c>
      <c r="G3602" s="0" t="inlineStr">
        <is>
          <t>MENS</t>
        </is>
      </c>
      <c r="H3602" s="0" t="inlineStr">
        <is>
          <t>M</t>
        </is>
      </c>
      <c r="I3602" s="0">
        <v>49.99</v>
      </c>
      <c r="J3602" s="0">
        <v>79</v>
      </c>
    </row>
    <row r="3603" spans="1:10" customHeight="0">
      <c r="A3603" s="0">
        <f>HYPERLINK("https://dl.dropboxusercontent.com/scl/fi/jhu16mkzbnhhmuxovz7cv/98716af.jpg?rlkey=mn648gk7w5a9oz62q04z8kb0c&amp;dl=0","Click to download Image")</f>
      </c>
      <c r="B3603" s="0">
        <f>HYPERLINK("https://dl.dropboxusercontent.com/scl/fi/auzd2zpf5s5g8fyik7pk1/mens-a.jpg?rlkey=tdtia9o2l5gtyp72w4tflg8ww&amp;dl=0","Click to download SizeChart")</f>
      </c>
      <c r="C3603" s="0" t="inlineStr">
        <is>
          <t>Bryan Men's Polo</t>
        </is>
      </c>
      <c r="D3603" s="1">
        <v>98716</v>
      </c>
      <c r="E3603" s="0" t="inlineStr">
        <is>
          <t>BRYAN:98716C-L</t>
        </is>
      </c>
      <c r="G3603" s="0" t="inlineStr">
        <is>
          <t>MENS</t>
        </is>
      </c>
      <c r="H3603" s="0" t="inlineStr">
        <is>
          <t>L</t>
        </is>
      </c>
      <c r="I3603" s="0">
        <v>49.99</v>
      </c>
      <c r="J3603" s="0">
        <v>90</v>
      </c>
    </row>
    <row r="3604" spans="1:10" customHeight="0">
      <c r="A3604" s="0">
        <f>HYPERLINK("https://dl.dropboxusercontent.com/scl/fi/jhu16mkzbnhhmuxovz7cv/98716af.jpg?rlkey=mn648gk7w5a9oz62q04z8kb0c&amp;dl=0","Click to download Image")</f>
      </c>
      <c r="B3604" s="0">
        <f>HYPERLINK("https://dl.dropboxusercontent.com/scl/fi/auzd2zpf5s5g8fyik7pk1/mens-a.jpg?rlkey=tdtia9o2l5gtyp72w4tflg8ww&amp;dl=0","Click to download SizeChart")</f>
      </c>
      <c r="C3604" s="0" t="inlineStr">
        <is>
          <t>Bryan Men's Polo</t>
        </is>
      </c>
      <c r="D3604" s="1">
        <v>98716</v>
      </c>
      <c r="E3604" s="0" t="inlineStr">
        <is>
          <t>BRYAN:98716D-XL</t>
        </is>
      </c>
      <c r="G3604" s="0" t="inlineStr">
        <is>
          <t>MENS</t>
        </is>
      </c>
      <c r="H3604" s="0" t="inlineStr">
        <is>
          <t>XL</t>
        </is>
      </c>
      <c r="I3604" s="0">
        <v>49.99</v>
      </c>
      <c r="J3604" s="0">
        <v>91</v>
      </c>
    </row>
    <row r="3605" spans="1:10" customHeight="0">
      <c r="A3605" s="0">
        <f>HYPERLINK("https://dl.dropboxusercontent.com/scl/fi/jhu16mkzbnhhmuxovz7cv/98716af.jpg?rlkey=mn648gk7w5a9oz62q04z8kb0c&amp;dl=0","Click to download Image")</f>
      </c>
      <c r="B3605" s="0">
        <f>HYPERLINK("https://dl.dropboxusercontent.com/scl/fi/auzd2zpf5s5g8fyik7pk1/mens-a.jpg?rlkey=tdtia9o2l5gtyp72w4tflg8ww&amp;dl=0","Click to download SizeChart")</f>
      </c>
      <c r="C3605" s="0" t="inlineStr">
        <is>
          <t>Bryan Men's Polo</t>
        </is>
      </c>
      <c r="D3605" s="1">
        <v>98716</v>
      </c>
      <c r="E3605" s="0" t="inlineStr">
        <is>
          <t>BRYAN:98716E-2XL</t>
        </is>
      </c>
      <c r="G3605" s="0" t="inlineStr">
        <is>
          <t>MENS</t>
        </is>
      </c>
      <c r="H3605" s="0" t="inlineStr">
        <is>
          <t>2XL</t>
        </is>
      </c>
      <c r="I3605" s="0">
        <v>51.99</v>
      </c>
      <c r="J3605" s="0">
        <v>67</v>
      </c>
    </row>
    <row r="3606" spans="1:10" customHeight="0">
      <c r="A3606" s="0">
        <f>HYPERLINK("https://dl.dropboxusercontent.com/scl/fi/jhu16mkzbnhhmuxovz7cv/98716af.jpg?rlkey=mn648gk7w5a9oz62q04z8kb0c&amp;dl=0","Click to download Image")</f>
      </c>
      <c r="B3606" s="0">
        <f>HYPERLINK("https://dl.dropboxusercontent.com/scl/fi/auzd2zpf5s5g8fyik7pk1/mens-a.jpg?rlkey=tdtia9o2l5gtyp72w4tflg8ww&amp;dl=0","Click to download SizeChart")</f>
      </c>
      <c r="C3606" s="0" t="inlineStr">
        <is>
          <t>Bryan Men's Polo</t>
        </is>
      </c>
      <c r="D3606" s="1">
        <v>98716</v>
      </c>
      <c r="E3606" s="0" t="inlineStr">
        <is>
          <t>BRYAN:98716F-3XL</t>
        </is>
      </c>
      <c r="G3606" s="0" t="inlineStr">
        <is>
          <t>MENS</t>
        </is>
      </c>
      <c r="H3606" s="0" t="inlineStr">
        <is>
          <t>3XL</t>
        </is>
      </c>
      <c r="I3606" s="0">
        <v>51.99</v>
      </c>
      <c r="J3606" s="0">
        <v>33</v>
      </c>
    </row>
    <row r="3607" spans="1:10" customHeight="0">
      <c r="A3607" s="0">
        <f>HYPERLINK("https://dl.dropboxusercontent.com/scl/fi/v5ffsprp10x7f3leqshlk/90790af.jpg?rlkey=9qce6h31b7kne2loxzffp3wtz&amp;dl=0","Click to download Image")</f>
      </c>
      <c r="B3607" s="0">
        <f>HYPERLINK("https://dl.dropboxusercontent.com/scl/fi/r48gjyhfhmo1e0m7ndaev/mens-a.jpg?rlkey=z0tccthvfqj7wq9fnl1rs7j34&amp;dl=0","Click to download SizeChart")</f>
      </c>
      <c r="C3607" s="0" t="inlineStr">
        <is>
          <t>Bowman Men's Jacket</t>
        </is>
      </c>
      <c r="D3607" s="1">
        <v>96355</v>
      </c>
      <c r="E3607" s="0" t="inlineStr">
        <is>
          <t>BOWMAN:96355A-S</t>
        </is>
      </c>
      <c r="G3607" s="0" t="inlineStr">
        <is>
          <t>MENS</t>
        </is>
      </c>
      <c r="H3607" s="0" t="inlineStr">
        <is>
          <t>S</t>
        </is>
      </c>
      <c r="I3607" s="0">
        <v>59.99</v>
      </c>
      <c r="J3607" s="0">
        <v>0</v>
      </c>
    </row>
    <row r="3608" spans="1:10" customHeight="0">
      <c r="A3608" s="0">
        <f>HYPERLINK("https://dl.dropboxusercontent.com/scl/fi/v5ffsprp10x7f3leqshlk/90790af.jpg?rlkey=9qce6h31b7kne2loxzffp3wtz&amp;dl=0","Click to download Image")</f>
      </c>
      <c r="B3608" s="0">
        <f>HYPERLINK("https://dl.dropboxusercontent.com/scl/fi/r48gjyhfhmo1e0m7ndaev/mens-a.jpg?rlkey=z0tccthvfqj7wq9fnl1rs7j34&amp;dl=0","Click to download SizeChart")</f>
      </c>
      <c r="C3608" s="0" t="inlineStr">
        <is>
          <t>Bowman Men's Jacket</t>
        </is>
      </c>
      <c r="D3608" s="1">
        <v>96355</v>
      </c>
      <c r="E3608" s="0" t="inlineStr">
        <is>
          <t>BOWMAN:96355B-M</t>
        </is>
      </c>
      <c r="G3608" s="0" t="inlineStr">
        <is>
          <t>MENS</t>
        </is>
      </c>
      <c r="H3608" s="0" t="inlineStr">
        <is>
          <t>M</t>
        </is>
      </c>
      <c r="I3608" s="0">
        <v>59.99</v>
      </c>
      <c r="J3608" s="0">
        <v>0</v>
      </c>
    </row>
    <row r="3609" spans="1:10" customHeight="0">
      <c r="A3609" s="0">
        <f>HYPERLINK("https://dl.dropboxusercontent.com/scl/fi/v5ffsprp10x7f3leqshlk/90790af.jpg?rlkey=9qce6h31b7kne2loxzffp3wtz&amp;dl=0","Click to download Image")</f>
      </c>
      <c r="B3609" s="0">
        <f>HYPERLINK("https://dl.dropboxusercontent.com/scl/fi/r48gjyhfhmo1e0m7ndaev/mens-a.jpg?rlkey=z0tccthvfqj7wq9fnl1rs7j34&amp;dl=0","Click to download SizeChart")</f>
      </c>
      <c r="C3609" s="0" t="inlineStr">
        <is>
          <t>Bowman Men's Jacket</t>
        </is>
      </c>
      <c r="D3609" s="1">
        <v>96355</v>
      </c>
      <c r="E3609" s="0" t="inlineStr">
        <is>
          <t>BOWMAN:96355C-L</t>
        </is>
      </c>
      <c r="G3609" s="0" t="inlineStr">
        <is>
          <t>MENS</t>
        </is>
      </c>
      <c r="H3609" s="0" t="inlineStr">
        <is>
          <t>L</t>
        </is>
      </c>
      <c r="I3609" s="0">
        <v>59.99</v>
      </c>
      <c r="J3609" s="0">
        <v>0</v>
      </c>
    </row>
    <row r="3610" spans="1:10" customHeight="0">
      <c r="A3610" s="0">
        <f>HYPERLINK("https://dl.dropboxusercontent.com/scl/fi/v5ffsprp10x7f3leqshlk/90790af.jpg?rlkey=9qce6h31b7kne2loxzffp3wtz&amp;dl=0","Click to download Image")</f>
      </c>
      <c r="B3610" s="0">
        <f>HYPERLINK("https://dl.dropboxusercontent.com/scl/fi/r48gjyhfhmo1e0m7ndaev/mens-a.jpg?rlkey=z0tccthvfqj7wq9fnl1rs7j34&amp;dl=0","Click to download SizeChart")</f>
      </c>
      <c r="C3610" s="0" t="inlineStr">
        <is>
          <t>Bowman Men's Jacket</t>
        </is>
      </c>
      <c r="D3610" s="1">
        <v>96355</v>
      </c>
      <c r="E3610" s="0" t="inlineStr">
        <is>
          <t>BOWMAN:96355D-XL</t>
        </is>
      </c>
      <c r="G3610" s="0" t="inlineStr">
        <is>
          <t>MENS</t>
        </is>
      </c>
      <c r="H3610" s="0" t="inlineStr">
        <is>
          <t>XL</t>
        </is>
      </c>
      <c r="I3610" s="0">
        <v>59.99</v>
      </c>
      <c r="J3610" s="0">
        <v>0</v>
      </c>
    </row>
    <row r="3611" spans="1:10" customHeight="0">
      <c r="A3611" s="0">
        <f>HYPERLINK("https://dl.dropboxusercontent.com/scl/fi/v5ffsprp10x7f3leqshlk/90790af.jpg?rlkey=9qce6h31b7kne2loxzffp3wtz&amp;dl=0","Click to download Image")</f>
      </c>
      <c r="B3611" s="0">
        <f>HYPERLINK("https://dl.dropboxusercontent.com/scl/fi/r48gjyhfhmo1e0m7ndaev/mens-a.jpg?rlkey=z0tccthvfqj7wq9fnl1rs7j34&amp;dl=0","Click to download SizeChart")</f>
      </c>
      <c r="C3611" s="0" t="inlineStr">
        <is>
          <t>Bowman Men's Jacket</t>
        </is>
      </c>
      <c r="D3611" s="1">
        <v>96355</v>
      </c>
      <c r="E3611" s="0" t="inlineStr">
        <is>
          <t>BOWMAN:96355E-2XL</t>
        </is>
      </c>
      <c r="G3611" s="0" t="inlineStr">
        <is>
          <t>MENS</t>
        </is>
      </c>
      <c r="H3611" s="0" t="inlineStr">
        <is>
          <t>2XL</t>
        </is>
      </c>
      <c r="I3611" s="0">
        <v>61.99</v>
      </c>
      <c r="J3611" s="0">
        <v>0</v>
      </c>
    </row>
    <row r="3612" spans="1:10" customHeight="0">
      <c r="A3612" s="0">
        <f>HYPERLINK("https://dl.dropboxusercontent.com/scl/fi/v5ffsprp10x7f3leqshlk/90790af.jpg?rlkey=9qce6h31b7kne2loxzffp3wtz&amp;dl=0","Click to download Image")</f>
      </c>
      <c r="B3612" s="0">
        <f>HYPERLINK("https://dl.dropboxusercontent.com/scl/fi/r48gjyhfhmo1e0m7ndaev/mens-a.jpg?rlkey=z0tccthvfqj7wq9fnl1rs7j34&amp;dl=0","Click to download SizeChart")</f>
      </c>
      <c r="C3612" s="0" t="inlineStr">
        <is>
          <t>Bowman Men's Jacket</t>
        </is>
      </c>
      <c r="D3612" s="1">
        <v>96355</v>
      </c>
      <c r="E3612" s="0" t="inlineStr">
        <is>
          <t>BOWMAN:96355F-3XL</t>
        </is>
      </c>
      <c r="G3612" s="0" t="inlineStr">
        <is>
          <t>MENS</t>
        </is>
      </c>
      <c r="H3612" s="0" t="inlineStr">
        <is>
          <t>3XL</t>
        </is>
      </c>
      <c r="I3612" s="0">
        <v>61.99</v>
      </c>
      <c r="J3612" s="0">
        <v>9</v>
      </c>
    </row>
    <row r="3613" spans="1:10" customHeight="0">
      <c r="A3613" s="0">
        <f>HYPERLINK("https://dl.dropboxusercontent.com/scl/fi/5rcyv2q8bxrld2c9alhj9/97005af.jpg?rlkey=wko4o1ga0z6w8s6uw42g5lnmz&amp;dl=0","Click to download Image")</f>
      </c>
      <c r="B3613" s="0">
        <f>HYPERLINK("https://dl.dropboxusercontent.com/scl/fi/unt08fjm8hwpxpzfq7g18/mens-a.jpg?rlkey=hcifokfkqyzr97kefy1c0h3o6&amp;dl=0","Click to download SizeChart")</f>
      </c>
      <c r="C3613" s="0" t="inlineStr">
        <is>
          <t>Gabriel Men's Polo</t>
        </is>
      </c>
      <c r="D3613" s="1">
        <v>97005</v>
      </c>
      <c r="E3613" s="0" t="inlineStr">
        <is>
          <t>GABRIEL:97005A-S</t>
        </is>
      </c>
      <c r="G3613" s="0" t="inlineStr">
        <is>
          <t>MENS</t>
        </is>
      </c>
      <c r="H3613" s="0" t="inlineStr">
        <is>
          <t>S</t>
        </is>
      </c>
      <c r="I3613" s="0">
        <v>41.99</v>
      </c>
      <c r="J3613" s="0">
        <v>21</v>
      </c>
    </row>
    <row r="3614" spans="1:10" customHeight="0">
      <c r="A3614" s="0">
        <f>HYPERLINK("https://dl.dropboxusercontent.com/scl/fi/5rcyv2q8bxrld2c9alhj9/97005af.jpg?rlkey=wko4o1ga0z6w8s6uw42g5lnmz&amp;dl=0","Click to download Image")</f>
      </c>
      <c r="B3614" s="0">
        <f>HYPERLINK("https://dl.dropboxusercontent.com/scl/fi/unt08fjm8hwpxpzfq7g18/mens-a.jpg?rlkey=hcifokfkqyzr97kefy1c0h3o6&amp;dl=0","Click to download SizeChart")</f>
      </c>
      <c r="C3614" s="0" t="inlineStr">
        <is>
          <t>Gabriel Men's Polo</t>
        </is>
      </c>
      <c r="D3614" s="1">
        <v>97005</v>
      </c>
      <c r="E3614" s="0" t="inlineStr">
        <is>
          <t>GABRIEL:97005B-M</t>
        </is>
      </c>
      <c r="G3614" s="0" t="inlineStr">
        <is>
          <t>MENS</t>
        </is>
      </c>
      <c r="H3614" s="0" t="inlineStr">
        <is>
          <t>M</t>
        </is>
      </c>
      <c r="I3614" s="0">
        <v>41.99</v>
      </c>
      <c r="J3614" s="0">
        <v>34</v>
      </c>
    </row>
    <row r="3615" spans="1:10" customHeight="0">
      <c r="A3615" s="0">
        <f>HYPERLINK("https://dl.dropboxusercontent.com/scl/fi/5rcyv2q8bxrld2c9alhj9/97005af.jpg?rlkey=wko4o1ga0z6w8s6uw42g5lnmz&amp;dl=0","Click to download Image")</f>
      </c>
      <c r="B3615" s="0">
        <f>HYPERLINK("https://dl.dropboxusercontent.com/scl/fi/unt08fjm8hwpxpzfq7g18/mens-a.jpg?rlkey=hcifokfkqyzr97kefy1c0h3o6&amp;dl=0","Click to download SizeChart")</f>
      </c>
      <c r="C3615" s="0" t="inlineStr">
        <is>
          <t>Gabriel Men's Polo</t>
        </is>
      </c>
      <c r="D3615" s="1">
        <v>97005</v>
      </c>
      <c r="E3615" s="0" t="inlineStr">
        <is>
          <t>GABRIEL:97005C-L</t>
        </is>
      </c>
      <c r="G3615" s="0" t="inlineStr">
        <is>
          <t>MENS</t>
        </is>
      </c>
      <c r="H3615" s="0" t="inlineStr">
        <is>
          <t>L</t>
        </is>
      </c>
      <c r="I3615" s="0">
        <v>41.99</v>
      </c>
      <c r="J3615" s="0">
        <v>49</v>
      </c>
    </row>
    <row r="3616" spans="1:10" customHeight="0">
      <c r="A3616" s="0">
        <f>HYPERLINK("https://dl.dropboxusercontent.com/scl/fi/5rcyv2q8bxrld2c9alhj9/97005af.jpg?rlkey=wko4o1ga0z6w8s6uw42g5lnmz&amp;dl=0","Click to download Image")</f>
      </c>
      <c r="B3616" s="0">
        <f>HYPERLINK("https://dl.dropboxusercontent.com/scl/fi/unt08fjm8hwpxpzfq7g18/mens-a.jpg?rlkey=hcifokfkqyzr97kefy1c0h3o6&amp;dl=0","Click to download SizeChart")</f>
      </c>
      <c r="C3616" s="0" t="inlineStr">
        <is>
          <t>Gabriel Men's Polo</t>
        </is>
      </c>
      <c r="D3616" s="1">
        <v>97005</v>
      </c>
      <c r="E3616" s="0" t="inlineStr">
        <is>
          <t>GABRIEL:97005D-XL</t>
        </is>
      </c>
      <c r="G3616" s="0" t="inlineStr">
        <is>
          <t>MENS</t>
        </is>
      </c>
      <c r="H3616" s="0" t="inlineStr">
        <is>
          <t>XL</t>
        </is>
      </c>
      <c r="I3616" s="0">
        <v>41.99</v>
      </c>
      <c r="J3616" s="0">
        <v>50</v>
      </c>
    </row>
    <row r="3617" spans="1:10" customHeight="0">
      <c r="A3617" s="0">
        <f>HYPERLINK("https://dl.dropboxusercontent.com/scl/fi/5rcyv2q8bxrld2c9alhj9/97005af.jpg?rlkey=wko4o1ga0z6w8s6uw42g5lnmz&amp;dl=0","Click to download Image")</f>
      </c>
      <c r="B3617" s="0">
        <f>HYPERLINK("https://dl.dropboxusercontent.com/scl/fi/unt08fjm8hwpxpzfq7g18/mens-a.jpg?rlkey=hcifokfkqyzr97kefy1c0h3o6&amp;dl=0","Click to download SizeChart")</f>
      </c>
      <c r="C3617" s="0" t="inlineStr">
        <is>
          <t>Gabriel Men's Polo</t>
        </is>
      </c>
      <c r="D3617" s="1">
        <v>97005</v>
      </c>
      <c r="E3617" s="0" t="inlineStr">
        <is>
          <t>GABRIEL:97005E-2XL</t>
        </is>
      </c>
      <c r="G3617" s="0" t="inlineStr">
        <is>
          <t>MENS</t>
        </is>
      </c>
      <c r="H3617" s="0" t="inlineStr">
        <is>
          <t>2XL</t>
        </is>
      </c>
      <c r="I3617" s="0">
        <v>43.99</v>
      </c>
      <c r="J3617" s="0">
        <v>28</v>
      </c>
    </row>
    <row r="3618" spans="1:10" customHeight="0">
      <c r="A3618" s="0">
        <f>HYPERLINK("https://dl.dropboxusercontent.com/scl/fi/5rcyv2q8bxrld2c9alhj9/97005af.jpg?rlkey=wko4o1ga0z6w8s6uw42g5lnmz&amp;dl=0","Click to download Image")</f>
      </c>
      <c r="B3618" s="0">
        <f>HYPERLINK("https://dl.dropboxusercontent.com/scl/fi/unt08fjm8hwpxpzfq7g18/mens-a.jpg?rlkey=hcifokfkqyzr97kefy1c0h3o6&amp;dl=0","Click to download SizeChart")</f>
      </c>
      <c r="C3618" s="0" t="inlineStr">
        <is>
          <t>Gabriel Men's Polo</t>
        </is>
      </c>
      <c r="D3618" s="1">
        <v>97005</v>
      </c>
      <c r="E3618" s="0" t="inlineStr">
        <is>
          <t>GABRIEL:97005F-3XL</t>
        </is>
      </c>
      <c r="G3618" s="0" t="inlineStr">
        <is>
          <t>MENS</t>
        </is>
      </c>
      <c r="H3618" s="0" t="inlineStr">
        <is>
          <t>3XL</t>
        </is>
      </c>
      <c r="I3618" s="0">
        <v>43.99</v>
      </c>
      <c r="J3618" s="0">
        <v>13</v>
      </c>
    </row>
    <row r="3619" spans="1:10" customHeight="0">
      <c r="A3619" s="0">
        <f>HYPERLINK("https://dl.dropboxusercontent.com/scl/fi/l8nlz92642ozpk3uzbb2l/95402af.jpg?rlkey=qc4iisgnefrks5o3iqzlckyzy&amp;dl=0","Click to download Image")</f>
      </c>
      <c r="B3619" s="0">
        <f>HYPERLINK("https://dl.dropboxusercontent.com/scl/fi/3kx08aj0bvura1zurgxet/size-chartladies-c.jpg?rlkey=4m5u19yfoot2m8ksu4b422wr9&amp;dl=0","Click to download SizeChart")</f>
      </c>
      <c r="C3619" s="0" t="inlineStr">
        <is>
          <t>Cassandra Women's Half Zip</t>
        </is>
      </c>
      <c r="D3619" s="1">
        <v>95402</v>
      </c>
      <c r="E3619" s="0" t="inlineStr">
        <is>
          <t>CASSANDRA:95402A-S</t>
        </is>
      </c>
      <c r="G3619" s="0" t="inlineStr">
        <is>
          <t>WOMENS</t>
        </is>
      </c>
      <c r="H3619" s="0" t="inlineStr">
        <is>
          <t>S</t>
        </is>
      </c>
      <c r="I3619" s="0">
        <v>54.99</v>
      </c>
      <c r="J3619" s="0">
        <v>0</v>
      </c>
    </row>
    <row r="3620" spans="1:10" customHeight="0">
      <c r="A3620" s="0">
        <f>HYPERLINK("https://dl.dropboxusercontent.com/scl/fi/l8nlz92642ozpk3uzbb2l/95402af.jpg?rlkey=qc4iisgnefrks5o3iqzlckyzy&amp;dl=0","Click to download Image")</f>
      </c>
      <c r="B3620" s="0">
        <f>HYPERLINK("https://dl.dropboxusercontent.com/scl/fi/3kx08aj0bvura1zurgxet/size-chartladies-c.jpg?rlkey=4m5u19yfoot2m8ksu4b422wr9&amp;dl=0","Click to download SizeChart")</f>
      </c>
      <c r="C3620" s="0" t="inlineStr">
        <is>
          <t>Cassandra Women's Half Zip</t>
        </is>
      </c>
      <c r="D3620" s="1">
        <v>95402</v>
      </c>
      <c r="E3620" s="0" t="inlineStr">
        <is>
          <t>CASSANDRA:95402B-M</t>
        </is>
      </c>
      <c r="G3620" s="0" t="inlineStr">
        <is>
          <t>WOMENS</t>
        </is>
      </c>
      <c r="H3620" s="0" t="inlineStr">
        <is>
          <t>M</t>
        </is>
      </c>
      <c r="I3620" s="0">
        <v>54.99</v>
      </c>
      <c r="J3620" s="0">
        <v>3</v>
      </c>
    </row>
    <row r="3621" spans="1:10" customHeight="0">
      <c r="A3621" s="0">
        <f>HYPERLINK("https://dl.dropboxusercontent.com/scl/fi/l8nlz92642ozpk3uzbb2l/95402af.jpg?rlkey=qc4iisgnefrks5o3iqzlckyzy&amp;dl=0","Click to download Image")</f>
      </c>
      <c r="B3621" s="0">
        <f>HYPERLINK("https://dl.dropboxusercontent.com/scl/fi/3kx08aj0bvura1zurgxet/size-chartladies-c.jpg?rlkey=4m5u19yfoot2m8ksu4b422wr9&amp;dl=0","Click to download SizeChart")</f>
      </c>
      <c r="C3621" s="0" t="inlineStr">
        <is>
          <t>Cassandra Women's Half Zip</t>
        </is>
      </c>
      <c r="D3621" s="1">
        <v>95402</v>
      </c>
      <c r="E3621" s="0" t="inlineStr">
        <is>
          <t>CASSANDRA:95402C-L</t>
        </is>
      </c>
      <c r="G3621" s="0" t="inlineStr">
        <is>
          <t>WOMENS</t>
        </is>
      </c>
      <c r="H3621" s="0" t="inlineStr">
        <is>
          <t>L</t>
        </is>
      </c>
      <c r="I3621" s="0">
        <v>54.99</v>
      </c>
      <c r="J3621" s="0">
        <v>0</v>
      </c>
    </row>
    <row r="3622" spans="1:10" customHeight="0">
      <c r="A3622" s="0">
        <f>HYPERLINK("https://dl.dropboxusercontent.com/scl/fi/l8nlz92642ozpk3uzbb2l/95402af.jpg?rlkey=qc4iisgnefrks5o3iqzlckyzy&amp;dl=0","Click to download Image")</f>
      </c>
      <c r="B3622" s="0">
        <f>HYPERLINK("https://dl.dropboxusercontent.com/scl/fi/3kx08aj0bvura1zurgxet/size-chartladies-c.jpg?rlkey=4m5u19yfoot2m8ksu4b422wr9&amp;dl=0","Click to download SizeChart")</f>
      </c>
      <c r="C3622" s="0" t="inlineStr">
        <is>
          <t>Cassandra Women's Half Zip</t>
        </is>
      </c>
      <c r="D3622" s="1">
        <v>95402</v>
      </c>
      <c r="E3622" s="0" t="inlineStr">
        <is>
          <t>CASSANDRA:95402D-XL</t>
        </is>
      </c>
      <c r="G3622" s="0" t="inlineStr">
        <is>
          <t>WOMENS</t>
        </is>
      </c>
      <c r="H3622" s="0" t="inlineStr">
        <is>
          <t>XL</t>
        </is>
      </c>
      <c r="I3622" s="0">
        <v>54.99</v>
      </c>
      <c r="J3622" s="0">
        <v>0</v>
      </c>
    </row>
    <row r="3623" spans="1:10" customHeight="0">
      <c r="A3623" s="0">
        <f>HYPERLINK("https://dl.dropboxusercontent.com/scl/fi/l8nlz92642ozpk3uzbb2l/95402af.jpg?rlkey=qc4iisgnefrks5o3iqzlckyzy&amp;dl=0","Click to download Image")</f>
      </c>
      <c r="B3623" s="0">
        <f>HYPERLINK("https://dl.dropboxusercontent.com/scl/fi/3kx08aj0bvura1zurgxet/size-chartladies-c.jpg?rlkey=4m5u19yfoot2m8ksu4b422wr9&amp;dl=0","Click to download SizeChart")</f>
      </c>
      <c r="C3623" s="0" t="inlineStr">
        <is>
          <t>Cassandra Women's Half Zip</t>
        </is>
      </c>
      <c r="D3623" s="1">
        <v>95402</v>
      </c>
      <c r="E3623" s="0" t="inlineStr">
        <is>
          <t>CASSANDRA:95402E-2X</t>
        </is>
      </c>
      <c r="G3623" s="0" t="inlineStr">
        <is>
          <t>WOMENS</t>
        </is>
      </c>
      <c r="H3623" s="0" t="inlineStr">
        <is>
          <t>2XL</t>
        </is>
      </c>
      <c r="I3623" s="0">
        <v>56.99</v>
      </c>
      <c r="J3623" s="0">
        <v>0</v>
      </c>
    </row>
    <row r="3624" spans="1:10" customHeight="0">
      <c r="A3624" s="0">
        <f>HYPERLINK("https://dl.dropboxusercontent.com/scl/fi/l8nlz92642ozpk3uzbb2l/95402af.jpg?rlkey=qc4iisgnefrks5o3iqzlckyzy&amp;dl=0","Click to download Image")</f>
      </c>
      <c r="B3624" s="0">
        <f>HYPERLINK("https://dl.dropboxusercontent.com/scl/fi/3kx08aj0bvura1zurgxet/size-chartladies-c.jpg?rlkey=4m5u19yfoot2m8ksu4b422wr9&amp;dl=0","Click to download SizeChart")</f>
      </c>
      <c r="C3624" s="0" t="inlineStr">
        <is>
          <t>Cassandra Women's Half Zip</t>
        </is>
      </c>
      <c r="D3624" s="1">
        <v>95402</v>
      </c>
      <c r="E3624" s="0" t="inlineStr">
        <is>
          <t>CASSANDRA:95402F-3X</t>
        </is>
      </c>
      <c r="G3624" s="0" t="inlineStr">
        <is>
          <t>WOMENS</t>
        </is>
      </c>
      <c r="H3624" s="0" t="inlineStr">
        <is>
          <t>3XL</t>
        </is>
      </c>
      <c r="I3624" s="0">
        <v>56.99</v>
      </c>
      <c r="J3624" s="0">
        <v>39</v>
      </c>
    </row>
    <row r="3625" spans="1:10" customHeight="0">
      <c r="A3625" s="0">
        <f>HYPERLINK("https://dl.dropboxusercontent.com/scl/fi/y45j14efe8znt1h0ilas9/95850af.jpg?rlkey=j0frqhz4e1zp73t8tcceq5gp1&amp;dl=0","Click to download Image")</f>
      </c>
      <c r="B3625" s="0">
        <f>HYPERLINK("https://dl.dropboxusercontent.com/scl/fi/v5nhndbtgbsmpf5aqoafn/size-chartladies-c.jpg?rlkey=sv907wnz2y44nx4wetoip1srw&amp;dl=0","Click to download SizeChart")</f>
      </c>
      <c r="C3625" s="0" t="inlineStr">
        <is>
          <t>Alice Women's Jacket</t>
        </is>
      </c>
      <c r="D3625" s="1">
        <v>95850</v>
      </c>
      <c r="E3625" s="0" t="inlineStr">
        <is>
          <t>ALICE:95850A-S</t>
        </is>
      </c>
      <c r="G3625" s="0" t="inlineStr">
        <is>
          <t>WOMENS</t>
        </is>
      </c>
      <c r="H3625" s="0" t="inlineStr">
        <is>
          <t>S</t>
        </is>
      </c>
      <c r="I3625" s="0">
        <v>49.99</v>
      </c>
      <c r="J3625" s="0">
        <v>19</v>
      </c>
    </row>
    <row r="3626" spans="1:10" customHeight="0">
      <c r="A3626" s="0">
        <f>HYPERLINK("https://dl.dropboxusercontent.com/scl/fi/y45j14efe8znt1h0ilas9/95850af.jpg?rlkey=j0frqhz4e1zp73t8tcceq5gp1&amp;dl=0","Click to download Image")</f>
      </c>
      <c r="B3626" s="0">
        <f>HYPERLINK("https://dl.dropboxusercontent.com/scl/fi/v5nhndbtgbsmpf5aqoafn/size-chartladies-c.jpg?rlkey=sv907wnz2y44nx4wetoip1srw&amp;dl=0","Click to download SizeChart")</f>
      </c>
      <c r="C3626" s="0" t="inlineStr">
        <is>
          <t>Alice Women's Jacket</t>
        </is>
      </c>
      <c r="D3626" s="1">
        <v>95850</v>
      </c>
      <c r="E3626" s="0" t="inlineStr">
        <is>
          <t>ALICE:95850B-M</t>
        </is>
      </c>
      <c r="G3626" s="0" t="inlineStr">
        <is>
          <t>WOMENS</t>
        </is>
      </c>
      <c r="H3626" s="0" t="inlineStr">
        <is>
          <t>M</t>
        </is>
      </c>
      <c r="I3626" s="0">
        <v>49.99</v>
      </c>
      <c r="J3626" s="0">
        <v>13</v>
      </c>
    </row>
    <row r="3627" spans="1:10" customHeight="0">
      <c r="A3627" s="0">
        <f>HYPERLINK("https://dl.dropboxusercontent.com/scl/fi/y45j14efe8znt1h0ilas9/95850af.jpg?rlkey=j0frqhz4e1zp73t8tcceq5gp1&amp;dl=0","Click to download Image")</f>
      </c>
      <c r="B3627" s="0">
        <f>HYPERLINK("https://dl.dropboxusercontent.com/scl/fi/v5nhndbtgbsmpf5aqoafn/size-chartladies-c.jpg?rlkey=sv907wnz2y44nx4wetoip1srw&amp;dl=0","Click to download SizeChart")</f>
      </c>
      <c r="C3627" s="0" t="inlineStr">
        <is>
          <t>Alice Women's Jacket</t>
        </is>
      </c>
      <c r="D3627" s="1">
        <v>95850</v>
      </c>
      <c r="E3627" s="0" t="inlineStr">
        <is>
          <t>ALICE:95850C-L</t>
        </is>
      </c>
      <c r="G3627" s="0" t="inlineStr">
        <is>
          <t>WOMENS</t>
        </is>
      </c>
      <c r="H3627" s="0" t="inlineStr">
        <is>
          <t>L</t>
        </is>
      </c>
      <c r="I3627" s="0">
        <v>49.99</v>
      </c>
      <c r="J3627" s="0">
        <v>7</v>
      </c>
    </row>
    <row r="3628" spans="1:10" customHeight="0">
      <c r="A3628" s="0">
        <f>HYPERLINK("https://dl.dropboxusercontent.com/scl/fi/y45j14efe8znt1h0ilas9/95850af.jpg?rlkey=j0frqhz4e1zp73t8tcceq5gp1&amp;dl=0","Click to download Image")</f>
      </c>
      <c r="B3628" s="0">
        <f>HYPERLINK("https://dl.dropboxusercontent.com/scl/fi/v5nhndbtgbsmpf5aqoafn/size-chartladies-c.jpg?rlkey=sv907wnz2y44nx4wetoip1srw&amp;dl=0","Click to download SizeChart")</f>
      </c>
      <c r="C3628" s="0" t="inlineStr">
        <is>
          <t>Alice Women's Jacket</t>
        </is>
      </c>
      <c r="D3628" s="1">
        <v>95850</v>
      </c>
      <c r="E3628" s="0" t="inlineStr">
        <is>
          <t>ALICE:95850D-XL</t>
        </is>
      </c>
      <c r="G3628" s="0" t="inlineStr">
        <is>
          <t>WOMENS</t>
        </is>
      </c>
      <c r="H3628" s="0" t="inlineStr">
        <is>
          <t>XL</t>
        </is>
      </c>
      <c r="I3628" s="0">
        <v>49.99</v>
      </c>
      <c r="J3628" s="0">
        <v>69</v>
      </c>
    </row>
    <row r="3629" spans="1:10" customHeight="0">
      <c r="A3629" s="0">
        <f>HYPERLINK("https://dl.dropboxusercontent.com/scl/fi/y45j14efe8znt1h0ilas9/95850af.jpg?rlkey=j0frqhz4e1zp73t8tcceq5gp1&amp;dl=0","Click to download Image")</f>
      </c>
      <c r="B3629" s="0">
        <f>HYPERLINK("https://dl.dropboxusercontent.com/scl/fi/v5nhndbtgbsmpf5aqoafn/size-chartladies-c.jpg?rlkey=sv907wnz2y44nx4wetoip1srw&amp;dl=0","Click to download SizeChart")</f>
      </c>
      <c r="C3629" s="0" t="inlineStr">
        <is>
          <t>Alice Women's Jacket</t>
        </is>
      </c>
      <c r="D3629" s="1">
        <v>95850</v>
      </c>
      <c r="E3629" s="0" t="inlineStr">
        <is>
          <t>ALICE:95850E-2X</t>
        </is>
      </c>
      <c r="G3629" s="0" t="inlineStr">
        <is>
          <t>WOMENS</t>
        </is>
      </c>
      <c r="H3629" s="0" t="inlineStr">
        <is>
          <t>2XL</t>
        </is>
      </c>
      <c r="I3629" s="0">
        <v>51.99</v>
      </c>
      <c r="J3629" s="0">
        <v>0</v>
      </c>
    </row>
    <row r="3630" spans="1:10" customHeight="0">
      <c r="A3630" s="0">
        <f>HYPERLINK("https://dl.dropboxusercontent.com/scl/fi/9ykt5rekyy212nh0dcpov/95980af.jpg?rlkey=36rsw2nk7hr00nxktgta5c1vq&amp;dl=0","Click to download Image")</f>
      </c>
      <c r="B3630" s="0">
        <f>HYPERLINK("https://dl.dropboxusercontent.com/scl/fi/1hx7ikfesfrzmif0go00k/size-chartladies-c.jpg?rlkey=e0frb90vq8wg7vggl9dt1uozw&amp;dl=0","Click to download SizeChart")</f>
      </c>
      <c r="C3630" s="0" t="inlineStr">
        <is>
          <t>Christie Women's Glow Jacket</t>
        </is>
      </c>
      <c r="D3630" s="1">
        <v>95980</v>
      </c>
      <c r="E3630" s="0" t="inlineStr">
        <is>
          <t>CHRISTIE:95980A-S</t>
        </is>
      </c>
      <c r="G3630" s="0" t="inlineStr">
        <is>
          <t>WOMENS</t>
        </is>
      </c>
      <c r="H3630" s="0" t="inlineStr">
        <is>
          <t>S</t>
        </is>
      </c>
      <c r="I3630" s="0">
        <v>89.99</v>
      </c>
      <c r="J3630" s="0">
        <v>27</v>
      </c>
    </row>
    <row r="3631" spans="1:10" customHeight="0">
      <c r="A3631" s="0">
        <f>HYPERLINK("https://dl.dropboxusercontent.com/scl/fi/9ykt5rekyy212nh0dcpov/95980af.jpg?rlkey=36rsw2nk7hr00nxktgta5c1vq&amp;dl=0","Click to download Image")</f>
      </c>
      <c r="B3631" s="0">
        <f>HYPERLINK("https://dl.dropboxusercontent.com/scl/fi/1hx7ikfesfrzmif0go00k/size-chartladies-c.jpg?rlkey=e0frb90vq8wg7vggl9dt1uozw&amp;dl=0","Click to download SizeChart")</f>
      </c>
      <c r="C3631" s="0" t="inlineStr">
        <is>
          <t>Christie Women's Glow Jacket</t>
        </is>
      </c>
      <c r="D3631" s="1">
        <v>95980</v>
      </c>
      <c r="E3631" s="0" t="inlineStr">
        <is>
          <t>CHRISTIE:95980B-M</t>
        </is>
      </c>
      <c r="G3631" s="0" t="inlineStr">
        <is>
          <t>WOMENS</t>
        </is>
      </c>
      <c r="H3631" s="0" t="inlineStr">
        <is>
          <t>M</t>
        </is>
      </c>
      <c r="I3631" s="0">
        <v>89.99</v>
      </c>
      <c r="J3631" s="0">
        <v>65</v>
      </c>
    </row>
    <row r="3632" spans="1:10" customHeight="0">
      <c r="A3632" s="0">
        <f>HYPERLINK("https://dl.dropboxusercontent.com/scl/fi/9ykt5rekyy212nh0dcpov/95980af.jpg?rlkey=36rsw2nk7hr00nxktgta5c1vq&amp;dl=0","Click to download Image")</f>
      </c>
      <c r="B3632" s="0">
        <f>HYPERLINK("https://dl.dropboxusercontent.com/scl/fi/1hx7ikfesfrzmif0go00k/size-chartladies-c.jpg?rlkey=e0frb90vq8wg7vggl9dt1uozw&amp;dl=0","Click to download SizeChart")</f>
      </c>
      <c r="C3632" s="0" t="inlineStr">
        <is>
          <t>Christie Women's Glow Jacket</t>
        </is>
      </c>
      <c r="D3632" s="1">
        <v>95980</v>
      </c>
      <c r="E3632" s="0" t="inlineStr">
        <is>
          <t>CHRISTIE:95980C-L</t>
        </is>
      </c>
      <c r="G3632" s="0" t="inlineStr">
        <is>
          <t>WOMENS</t>
        </is>
      </c>
      <c r="H3632" s="0" t="inlineStr">
        <is>
          <t>L</t>
        </is>
      </c>
      <c r="I3632" s="0">
        <v>89.99</v>
      </c>
      <c r="J3632" s="0">
        <v>112</v>
      </c>
    </row>
    <row r="3633" spans="1:10" customHeight="0">
      <c r="A3633" s="0">
        <f>HYPERLINK("https://dl.dropboxusercontent.com/scl/fi/9ykt5rekyy212nh0dcpov/95980af.jpg?rlkey=36rsw2nk7hr00nxktgta5c1vq&amp;dl=0","Click to download Image")</f>
      </c>
      <c r="B3633" s="0">
        <f>HYPERLINK("https://dl.dropboxusercontent.com/scl/fi/1hx7ikfesfrzmif0go00k/size-chartladies-c.jpg?rlkey=e0frb90vq8wg7vggl9dt1uozw&amp;dl=0","Click to download SizeChart")</f>
      </c>
      <c r="C3633" s="0" t="inlineStr">
        <is>
          <t>Christie Women's Glow Jacket</t>
        </is>
      </c>
      <c r="D3633" s="1">
        <v>95980</v>
      </c>
      <c r="E3633" s="0" t="inlineStr">
        <is>
          <t>CHRISTIE:95980D-XL</t>
        </is>
      </c>
      <c r="G3633" s="0" t="inlineStr">
        <is>
          <t>WOMENS</t>
        </is>
      </c>
      <c r="H3633" s="0" t="inlineStr">
        <is>
          <t>XL</t>
        </is>
      </c>
      <c r="I3633" s="0">
        <v>89.99</v>
      </c>
      <c r="J3633" s="0">
        <v>112</v>
      </c>
    </row>
    <row r="3634" spans="1:10" customHeight="0">
      <c r="A3634" s="0">
        <f>HYPERLINK("https://dl.dropboxusercontent.com/scl/fi/9ykt5rekyy212nh0dcpov/95980af.jpg?rlkey=36rsw2nk7hr00nxktgta5c1vq&amp;dl=0","Click to download Image")</f>
      </c>
      <c r="B3634" s="0">
        <f>HYPERLINK("https://dl.dropboxusercontent.com/scl/fi/1hx7ikfesfrzmif0go00k/size-chartladies-c.jpg?rlkey=e0frb90vq8wg7vggl9dt1uozw&amp;dl=0","Click to download SizeChart")</f>
      </c>
      <c r="C3634" s="0" t="inlineStr">
        <is>
          <t>Christie Women's Glow Jacket</t>
        </is>
      </c>
      <c r="D3634" s="1">
        <v>95980</v>
      </c>
      <c r="E3634" s="0" t="inlineStr">
        <is>
          <t>CHRISTIE:95980E-2X</t>
        </is>
      </c>
      <c r="G3634" s="0" t="inlineStr">
        <is>
          <t>WOMENS</t>
        </is>
      </c>
      <c r="H3634" s="0" t="inlineStr">
        <is>
          <t>2XL</t>
        </is>
      </c>
      <c r="I3634" s="0">
        <v>91.99</v>
      </c>
      <c r="J3634" s="0">
        <v>70</v>
      </c>
    </row>
    <row r="3635" spans="1:10" customHeight="0">
      <c r="A3635" s="0">
        <f>HYPERLINK("https://dl.dropboxusercontent.com/scl/fi/9ykt5rekyy212nh0dcpov/95980af.jpg?rlkey=36rsw2nk7hr00nxktgta5c1vq&amp;dl=0","Click to download Image")</f>
      </c>
      <c r="B3635" s="0">
        <f>HYPERLINK("https://dl.dropboxusercontent.com/scl/fi/1hx7ikfesfrzmif0go00k/size-chartladies-c.jpg?rlkey=e0frb90vq8wg7vggl9dt1uozw&amp;dl=0","Click to download SizeChart")</f>
      </c>
      <c r="C3635" s="0" t="inlineStr">
        <is>
          <t>Christie Women's Glow Jacket</t>
        </is>
      </c>
      <c r="D3635" s="1">
        <v>95980</v>
      </c>
      <c r="E3635" s="0" t="inlineStr">
        <is>
          <t>CHRISTIE:95980F-3X</t>
        </is>
      </c>
      <c r="G3635" s="0" t="inlineStr">
        <is>
          <t>WOMENS</t>
        </is>
      </c>
      <c r="H3635" s="0" t="inlineStr">
        <is>
          <t>3XL</t>
        </is>
      </c>
      <c r="I3635" s="0">
        <v>91.99</v>
      </c>
      <c r="J3635" s="0">
        <v>39</v>
      </c>
    </row>
    <row r="3636" spans="1:10" customHeight="0">
      <c r="A3636" s="0">
        <f>HYPERLINK("https://dl.dropboxusercontent.com/scl/fi/7geeekt08gcvf2lci1rdl/95981af.jpg?rlkey=mt0kr50xjsdnhejxsoj3tt35g&amp;dl=0","Click to download Image")</f>
      </c>
      <c r="B3636" s="0">
        <f>HYPERLINK("https://dl.dropboxusercontent.com/scl/fi/fmnogxg4xxnbtomqlqs0g/size-chartladies-c.jpg?rlkey=zco2dgwlhdgeekymhmiwx26go&amp;dl=0","Click to download SizeChart")</f>
      </c>
      <c r="C3636" s="0" t="inlineStr">
        <is>
          <t>Delaney Women's Jacket</t>
        </is>
      </c>
      <c r="D3636" s="1">
        <v>95981</v>
      </c>
      <c r="E3636" s="0" t="inlineStr">
        <is>
          <t>DELANEY:95981A-S</t>
        </is>
      </c>
      <c r="G3636" s="0" t="inlineStr">
        <is>
          <t>WOMENS</t>
        </is>
      </c>
      <c r="H3636" s="0" t="inlineStr">
        <is>
          <t>S</t>
        </is>
      </c>
      <c r="I3636" s="0">
        <v>89.99</v>
      </c>
      <c r="J3636" s="0">
        <v>57</v>
      </c>
    </row>
    <row r="3637" spans="1:10" customHeight="0">
      <c r="A3637" s="0">
        <f>HYPERLINK("https://dl.dropboxusercontent.com/scl/fi/7geeekt08gcvf2lci1rdl/95981af.jpg?rlkey=mt0kr50xjsdnhejxsoj3tt35g&amp;dl=0","Click to download Image")</f>
      </c>
      <c r="B3637" s="0">
        <f>HYPERLINK("https://dl.dropboxusercontent.com/scl/fi/fmnogxg4xxnbtomqlqs0g/size-chartladies-c.jpg?rlkey=zco2dgwlhdgeekymhmiwx26go&amp;dl=0","Click to download SizeChart")</f>
      </c>
      <c r="C3637" s="0" t="inlineStr">
        <is>
          <t>Delaney Women's Jacket</t>
        </is>
      </c>
      <c r="D3637" s="1">
        <v>95981</v>
      </c>
      <c r="E3637" s="0" t="inlineStr">
        <is>
          <t>DELANEY:95981B-M</t>
        </is>
      </c>
      <c r="G3637" s="0" t="inlineStr">
        <is>
          <t>WOMENS</t>
        </is>
      </c>
      <c r="H3637" s="0" t="inlineStr">
        <is>
          <t>M</t>
        </is>
      </c>
      <c r="I3637" s="0">
        <v>89.99</v>
      </c>
      <c r="J3637" s="0">
        <v>71</v>
      </c>
    </row>
    <row r="3638" spans="1:10" customHeight="0">
      <c r="A3638" s="0">
        <f>HYPERLINK("https://dl.dropboxusercontent.com/scl/fi/7geeekt08gcvf2lci1rdl/95981af.jpg?rlkey=mt0kr50xjsdnhejxsoj3tt35g&amp;dl=0","Click to download Image")</f>
      </c>
      <c r="B3638" s="0">
        <f>HYPERLINK("https://dl.dropboxusercontent.com/scl/fi/fmnogxg4xxnbtomqlqs0g/size-chartladies-c.jpg?rlkey=zco2dgwlhdgeekymhmiwx26go&amp;dl=0","Click to download SizeChart")</f>
      </c>
      <c r="C3638" s="0" t="inlineStr">
        <is>
          <t>Delaney Women's Jacket</t>
        </is>
      </c>
      <c r="D3638" s="1">
        <v>95981</v>
      </c>
      <c r="E3638" s="0" t="inlineStr">
        <is>
          <t>DELANEY:95981C-L</t>
        </is>
      </c>
      <c r="G3638" s="0" t="inlineStr">
        <is>
          <t>WOMENS</t>
        </is>
      </c>
      <c r="H3638" s="0" t="inlineStr">
        <is>
          <t>L</t>
        </is>
      </c>
      <c r="I3638" s="0">
        <v>89.99</v>
      </c>
      <c r="J3638" s="0">
        <v>133</v>
      </c>
    </row>
    <row r="3639" spans="1:10" customHeight="0">
      <c r="A3639" s="0">
        <f>HYPERLINK("https://dl.dropboxusercontent.com/scl/fi/7geeekt08gcvf2lci1rdl/95981af.jpg?rlkey=mt0kr50xjsdnhejxsoj3tt35g&amp;dl=0","Click to download Image")</f>
      </c>
      <c r="B3639" s="0">
        <f>HYPERLINK("https://dl.dropboxusercontent.com/scl/fi/fmnogxg4xxnbtomqlqs0g/size-chartladies-c.jpg?rlkey=zco2dgwlhdgeekymhmiwx26go&amp;dl=0","Click to download SizeChart")</f>
      </c>
      <c r="C3639" s="0" t="inlineStr">
        <is>
          <t>Delaney Women's Jacket</t>
        </is>
      </c>
      <c r="D3639" s="1">
        <v>95981</v>
      </c>
      <c r="E3639" s="0" t="inlineStr">
        <is>
          <t>DELANEY:95981D-XL</t>
        </is>
      </c>
      <c r="G3639" s="0" t="inlineStr">
        <is>
          <t>WOMENS</t>
        </is>
      </c>
      <c r="H3639" s="0" t="inlineStr">
        <is>
          <t>XL</t>
        </is>
      </c>
      <c r="I3639" s="0">
        <v>89.99</v>
      </c>
      <c r="J3639" s="0">
        <v>152</v>
      </c>
    </row>
    <row r="3640" spans="1:10" customHeight="0">
      <c r="A3640" s="0">
        <f>HYPERLINK("https://dl.dropboxusercontent.com/scl/fi/7geeekt08gcvf2lci1rdl/95981af.jpg?rlkey=mt0kr50xjsdnhejxsoj3tt35g&amp;dl=0","Click to download Image")</f>
      </c>
      <c r="B3640" s="0">
        <f>HYPERLINK("https://dl.dropboxusercontent.com/scl/fi/fmnogxg4xxnbtomqlqs0g/size-chartladies-c.jpg?rlkey=zco2dgwlhdgeekymhmiwx26go&amp;dl=0","Click to download SizeChart")</f>
      </c>
      <c r="C3640" s="0" t="inlineStr">
        <is>
          <t>Delaney Women's Jacket</t>
        </is>
      </c>
      <c r="D3640" s="1">
        <v>95981</v>
      </c>
      <c r="E3640" s="0" t="inlineStr">
        <is>
          <t>DELANEY:95981E-2X</t>
        </is>
      </c>
      <c r="G3640" s="0" t="inlineStr">
        <is>
          <t>WOMENS</t>
        </is>
      </c>
      <c r="H3640" s="0" t="inlineStr">
        <is>
          <t>2XL</t>
        </is>
      </c>
      <c r="I3640" s="0">
        <v>91.99</v>
      </c>
      <c r="J3640" s="0">
        <v>59</v>
      </c>
    </row>
    <row r="3641" spans="1:10" customHeight="0">
      <c r="A3641" s="0">
        <f>HYPERLINK("https://dl.dropboxusercontent.com/scl/fi/7geeekt08gcvf2lci1rdl/95981af.jpg?rlkey=mt0kr50xjsdnhejxsoj3tt35g&amp;dl=0","Click to download Image")</f>
      </c>
      <c r="B3641" s="0">
        <f>HYPERLINK("https://dl.dropboxusercontent.com/scl/fi/fmnogxg4xxnbtomqlqs0g/size-chartladies-c.jpg?rlkey=zco2dgwlhdgeekymhmiwx26go&amp;dl=0","Click to download SizeChart")</f>
      </c>
      <c r="C3641" s="0" t="inlineStr">
        <is>
          <t>Delaney Women's Jacket</t>
        </is>
      </c>
      <c r="D3641" s="1">
        <v>95981</v>
      </c>
      <c r="E3641" s="0" t="inlineStr">
        <is>
          <t>DELANEY:95981F-3X</t>
        </is>
      </c>
      <c r="G3641" s="0" t="inlineStr">
        <is>
          <t>WOMENS</t>
        </is>
      </c>
      <c r="H3641" s="0" t="inlineStr">
        <is>
          <t>3XL</t>
        </is>
      </c>
      <c r="I3641" s="0">
        <v>91.99</v>
      </c>
      <c r="J3641" s="0">
        <v>0</v>
      </c>
    </row>
    <row r="3642" spans="1:10" customHeight="0">
      <c r="A3642" s="0">
        <f>HYPERLINK("https://dl.dropboxusercontent.com/scl/fi/8nb56d8snukotix9naz20/98026af.jpg?rlkey=9435o1hgvbjww5j4o3akorim4&amp;dl=0","Click to download Image")</f>
      </c>
      <c r="B3642" s="0">
        <f>HYPERLINK("https://dl.dropboxusercontent.com/scl/fi/mqcy9o1s9v9dooxpa46p9/mens-a.jpg?rlkey=qed0c6cfelmwylhdz8zziaj1u&amp;dl=0","Click to download SizeChart")</f>
      </c>
      <c r="C3642" s="0" t="inlineStr">
        <is>
          <t>Dean Men's Hoodie</t>
        </is>
      </c>
      <c r="D3642" s="1">
        <v>98026</v>
      </c>
      <c r="E3642" s="0" t="inlineStr">
        <is>
          <t>DEAN:98026A-S</t>
        </is>
      </c>
      <c r="G3642" s="0" t="inlineStr">
        <is>
          <t>MENS</t>
        </is>
      </c>
      <c r="I3642" s="0">
        <v>59.99</v>
      </c>
      <c r="J3642" s="0">
        <v>38</v>
      </c>
    </row>
    <row r="3643" spans="1:10" customHeight="0">
      <c r="A3643" s="0">
        <f>HYPERLINK("https://dl.dropboxusercontent.com/scl/fi/8nb56d8snukotix9naz20/98026af.jpg?rlkey=9435o1hgvbjww5j4o3akorim4&amp;dl=0","Click to download Image")</f>
      </c>
      <c r="B3643" s="0">
        <f>HYPERLINK("https://dl.dropboxusercontent.com/scl/fi/mqcy9o1s9v9dooxpa46p9/mens-a.jpg?rlkey=qed0c6cfelmwylhdz8zziaj1u&amp;dl=0","Click to download SizeChart")</f>
      </c>
      <c r="C3643" s="0" t="inlineStr">
        <is>
          <t>Dean Men's Hoodie</t>
        </is>
      </c>
      <c r="D3643" s="1">
        <v>98026</v>
      </c>
      <c r="E3643" s="0" t="inlineStr">
        <is>
          <t>DEAN:98026B-M</t>
        </is>
      </c>
      <c r="G3643" s="0" t="inlineStr">
        <is>
          <t>MENS</t>
        </is>
      </c>
      <c r="I3643" s="0">
        <v>59.99</v>
      </c>
      <c r="J3643" s="0">
        <v>47</v>
      </c>
    </row>
    <row r="3644" spans="1:10" customHeight="0">
      <c r="A3644" s="0">
        <f>HYPERLINK("https://dl.dropboxusercontent.com/scl/fi/8nb56d8snukotix9naz20/98026af.jpg?rlkey=9435o1hgvbjww5j4o3akorim4&amp;dl=0","Click to download Image")</f>
      </c>
      <c r="B3644" s="0">
        <f>HYPERLINK("https://dl.dropboxusercontent.com/scl/fi/mqcy9o1s9v9dooxpa46p9/mens-a.jpg?rlkey=qed0c6cfelmwylhdz8zziaj1u&amp;dl=0","Click to download SizeChart")</f>
      </c>
      <c r="C3644" s="0" t="inlineStr">
        <is>
          <t>Dean Men's Hoodie</t>
        </is>
      </c>
      <c r="D3644" s="1">
        <v>98026</v>
      </c>
      <c r="E3644" s="0" t="inlineStr">
        <is>
          <t>DEAN:98026C-L</t>
        </is>
      </c>
      <c r="G3644" s="0" t="inlineStr">
        <is>
          <t>MENS</t>
        </is>
      </c>
      <c r="I3644" s="0">
        <v>59.99</v>
      </c>
      <c r="J3644" s="0">
        <v>0</v>
      </c>
    </row>
    <row r="3645" spans="1:10" customHeight="0">
      <c r="A3645" s="0">
        <f>HYPERLINK("https://dl.dropboxusercontent.com/scl/fi/8nb56d8snukotix9naz20/98026af.jpg?rlkey=9435o1hgvbjww5j4o3akorim4&amp;dl=0","Click to download Image")</f>
      </c>
      <c r="B3645" s="0">
        <f>HYPERLINK("https://dl.dropboxusercontent.com/scl/fi/mqcy9o1s9v9dooxpa46p9/mens-a.jpg?rlkey=qed0c6cfelmwylhdz8zziaj1u&amp;dl=0","Click to download SizeChart")</f>
      </c>
      <c r="C3645" s="0" t="inlineStr">
        <is>
          <t>Dean Men's Hoodie</t>
        </is>
      </c>
      <c r="D3645" s="1">
        <v>98026</v>
      </c>
      <c r="E3645" s="0" t="inlineStr">
        <is>
          <t>DEAN:98026D-XL</t>
        </is>
      </c>
      <c r="G3645" s="0" t="inlineStr">
        <is>
          <t>MENS</t>
        </is>
      </c>
      <c r="I3645" s="0">
        <v>59.99</v>
      </c>
      <c r="J3645" s="0">
        <v>0</v>
      </c>
    </row>
    <row r="3646" spans="1:10" customHeight="0">
      <c r="A3646" s="0">
        <f>HYPERLINK("https://dl.dropboxusercontent.com/scl/fi/8nb56d8snukotix9naz20/98026af.jpg?rlkey=9435o1hgvbjww5j4o3akorim4&amp;dl=0","Click to download Image")</f>
      </c>
      <c r="B3646" s="0">
        <f>HYPERLINK("https://dl.dropboxusercontent.com/scl/fi/mqcy9o1s9v9dooxpa46p9/mens-a.jpg?rlkey=qed0c6cfelmwylhdz8zziaj1u&amp;dl=0","Click to download SizeChart")</f>
      </c>
      <c r="C3646" s="0" t="inlineStr">
        <is>
          <t>Dean Men's Hoodie</t>
        </is>
      </c>
      <c r="D3646" s="1">
        <v>98026</v>
      </c>
      <c r="E3646" s="0" t="inlineStr">
        <is>
          <t>DEAN:98026E-2XL</t>
        </is>
      </c>
      <c r="G3646" s="0" t="inlineStr">
        <is>
          <t>MENS</t>
        </is>
      </c>
      <c r="I3646" s="0">
        <v>59.99</v>
      </c>
      <c r="J3646" s="0">
        <v>8</v>
      </c>
    </row>
    <row r="3647" spans="1:10" customHeight="0">
      <c r="A3647" s="0">
        <f>HYPERLINK("https://dl.dropboxusercontent.com/scl/fi/8nb56d8snukotix9naz20/98026af.jpg?rlkey=9435o1hgvbjww5j4o3akorim4&amp;dl=0","Click to download Image")</f>
      </c>
      <c r="B3647" s="0">
        <f>HYPERLINK("https://dl.dropboxusercontent.com/scl/fi/mqcy9o1s9v9dooxpa46p9/mens-a.jpg?rlkey=qed0c6cfelmwylhdz8zziaj1u&amp;dl=0","Click to download SizeChart")</f>
      </c>
      <c r="C3647" s="0" t="inlineStr">
        <is>
          <t>Dean Men's Hoodie</t>
        </is>
      </c>
      <c r="D3647" s="1">
        <v>98026</v>
      </c>
      <c r="E3647" s="0" t="inlineStr">
        <is>
          <t>DEAN:98026F-3XL</t>
        </is>
      </c>
      <c r="G3647" s="0" t="inlineStr">
        <is>
          <t>MENS</t>
        </is>
      </c>
      <c r="I3647" s="0">
        <v>59.99</v>
      </c>
      <c r="J3647" s="0">
        <v>2</v>
      </c>
    </row>
    <row r="3648" spans="1:10" customHeight="0">
      <c r="A3648" s="0">
        <f>HYPERLINK("https://dl.dropboxusercontent.com/scl/fi/flo9issxui29repygo336/99861af.jpg?rlkey=4ud333sgokm413niao9x3dmx5&amp;dl=0","Click to download Image")</f>
      </c>
      <c r="B3648" s="0">
        <f>HYPERLINK("https://dl.dropboxusercontent.com/scl/fi/e5m6oqdxgypxn00et1j8c/mens-b.jpg?rlkey=vj4q7z2wg5fapx0xzb2fm4t05&amp;dl=0","Click to download SizeChart")</f>
      </c>
      <c r="C3648" s="0" t="inlineStr">
        <is>
          <t>Drew Men's Hoodie</t>
        </is>
      </c>
      <c r="D3648" s="1">
        <v>99861</v>
      </c>
      <c r="E3648" s="0" t="inlineStr">
        <is>
          <t>DREW:99861A-S</t>
        </is>
      </c>
      <c r="G3648" s="0" t="inlineStr">
        <is>
          <t>MENS</t>
        </is>
      </c>
      <c r="H3648" s="0" t="inlineStr">
        <is>
          <t>S</t>
        </is>
      </c>
      <c r="I3648" s="0">
        <v>49.99</v>
      </c>
      <c r="J3648" s="0">
        <v>15</v>
      </c>
    </row>
    <row r="3649" spans="1:10" customHeight="0">
      <c r="A3649" s="0">
        <f>HYPERLINK("https://dl.dropboxusercontent.com/scl/fi/flo9issxui29repygo336/99861af.jpg?rlkey=4ud333sgokm413niao9x3dmx5&amp;dl=0","Click to download Image")</f>
      </c>
      <c r="B3649" s="0">
        <f>HYPERLINK("https://dl.dropboxusercontent.com/scl/fi/e5m6oqdxgypxn00et1j8c/mens-b.jpg?rlkey=vj4q7z2wg5fapx0xzb2fm4t05&amp;dl=0","Click to download SizeChart")</f>
      </c>
      <c r="C3649" s="0" t="inlineStr">
        <is>
          <t>Drew Men's Hoodie</t>
        </is>
      </c>
      <c r="D3649" s="1">
        <v>99861</v>
      </c>
      <c r="E3649" s="0" t="inlineStr">
        <is>
          <t>DREW:99861B-M</t>
        </is>
      </c>
      <c r="G3649" s="0" t="inlineStr">
        <is>
          <t>MENS</t>
        </is>
      </c>
      <c r="H3649" s="0" t="inlineStr">
        <is>
          <t>M</t>
        </is>
      </c>
      <c r="I3649" s="0">
        <v>49.99</v>
      </c>
      <c r="J3649" s="0">
        <v>0</v>
      </c>
    </row>
    <row r="3650" spans="1:10" customHeight="0">
      <c r="A3650" s="0">
        <f>HYPERLINK("https://dl.dropboxusercontent.com/scl/fi/flo9issxui29repygo336/99861af.jpg?rlkey=4ud333sgokm413niao9x3dmx5&amp;dl=0","Click to download Image")</f>
      </c>
      <c r="B3650" s="0">
        <f>HYPERLINK("https://dl.dropboxusercontent.com/scl/fi/e5m6oqdxgypxn00et1j8c/mens-b.jpg?rlkey=vj4q7z2wg5fapx0xzb2fm4t05&amp;dl=0","Click to download SizeChart")</f>
      </c>
      <c r="C3650" s="0" t="inlineStr">
        <is>
          <t>Drew Men's Hoodie</t>
        </is>
      </c>
      <c r="D3650" s="1">
        <v>99861</v>
      </c>
      <c r="E3650" s="0" t="inlineStr">
        <is>
          <t>DREW:99861C-L</t>
        </is>
      </c>
      <c r="G3650" s="0" t="inlineStr">
        <is>
          <t>MENS</t>
        </is>
      </c>
      <c r="H3650" s="0" t="inlineStr">
        <is>
          <t>L</t>
        </is>
      </c>
      <c r="I3650" s="0">
        <v>49.99</v>
      </c>
      <c r="J3650" s="0">
        <v>0</v>
      </c>
    </row>
    <row r="3651" spans="1:10" customHeight="0">
      <c r="A3651" s="0">
        <f>HYPERLINK("https://dl.dropboxusercontent.com/scl/fi/flo9issxui29repygo336/99861af.jpg?rlkey=4ud333sgokm413niao9x3dmx5&amp;dl=0","Click to download Image")</f>
      </c>
      <c r="B3651" s="0">
        <f>HYPERLINK("https://dl.dropboxusercontent.com/scl/fi/e5m6oqdxgypxn00et1j8c/mens-b.jpg?rlkey=vj4q7z2wg5fapx0xzb2fm4t05&amp;dl=0","Click to download SizeChart")</f>
      </c>
      <c r="C3651" s="0" t="inlineStr">
        <is>
          <t>Drew Men's Hoodie</t>
        </is>
      </c>
      <c r="D3651" s="1">
        <v>99861</v>
      </c>
      <c r="E3651" s="0" t="inlineStr">
        <is>
          <t>DREW:99861D-XL</t>
        </is>
      </c>
      <c r="G3651" s="0" t="inlineStr">
        <is>
          <t>MENS</t>
        </is>
      </c>
      <c r="H3651" s="0" t="inlineStr">
        <is>
          <t>XL</t>
        </is>
      </c>
      <c r="I3651" s="0">
        <v>49.99</v>
      </c>
      <c r="J3651" s="0">
        <v>0</v>
      </c>
    </row>
    <row r="3652" spans="1:10" customHeight="0">
      <c r="A3652" s="0">
        <f>HYPERLINK("https://dl.dropboxusercontent.com/scl/fi/flo9issxui29repygo336/99861af.jpg?rlkey=4ud333sgokm413niao9x3dmx5&amp;dl=0","Click to download Image")</f>
      </c>
      <c r="B3652" s="0">
        <f>HYPERLINK("https://dl.dropboxusercontent.com/scl/fi/e5m6oqdxgypxn00et1j8c/mens-b.jpg?rlkey=vj4q7z2wg5fapx0xzb2fm4t05&amp;dl=0","Click to download SizeChart")</f>
      </c>
      <c r="C3652" s="0" t="inlineStr">
        <is>
          <t>Drew Men's Hoodie</t>
        </is>
      </c>
      <c r="D3652" s="1">
        <v>99861</v>
      </c>
      <c r="E3652" s="0" t="inlineStr">
        <is>
          <t>DREW:99861E-2XL</t>
        </is>
      </c>
      <c r="G3652" s="0" t="inlineStr">
        <is>
          <t>MENS</t>
        </is>
      </c>
      <c r="H3652" s="0" t="inlineStr">
        <is>
          <t>2XL</t>
        </is>
      </c>
      <c r="I3652" s="0">
        <v>51.99</v>
      </c>
      <c r="J3652" s="0">
        <v>0</v>
      </c>
    </row>
    <row r="3653" spans="1:10" customHeight="0">
      <c r="A3653" s="0">
        <f>HYPERLINK("https://dl.dropboxusercontent.com/scl/fi/flo9issxui29repygo336/99861af.jpg?rlkey=4ud333sgokm413niao9x3dmx5&amp;dl=0","Click to download Image")</f>
      </c>
      <c r="B3653" s="0">
        <f>HYPERLINK("https://dl.dropboxusercontent.com/scl/fi/e5m6oqdxgypxn00et1j8c/mens-b.jpg?rlkey=vj4q7z2wg5fapx0xzb2fm4t05&amp;dl=0","Click to download SizeChart")</f>
      </c>
      <c r="C3653" s="0" t="inlineStr">
        <is>
          <t>Drew Men's Hoodie</t>
        </is>
      </c>
      <c r="D3653" s="1">
        <v>99861</v>
      </c>
      <c r="E3653" s="0" t="inlineStr">
        <is>
          <t>DREW:99861F-3XL</t>
        </is>
      </c>
      <c r="G3653" s="0" t="inlineStr">
        <is>
          <t>MENS</t>
        </is>
      </c>
      <c r="H3653" s="0" t="inlineStr">
        <is>
          <t>3XL</t>
        </is>
      </c>
      <c r="I3653" s="0">
        <v>51.99</v>
      </c>
      <c r="J3653" s="0">
        <v>0</v>
      </c>
    </row>
    <row r="3654" spans="1:10" customHeight="0">
      <c r="A3654" s="0">
        <f>HYPERLINK("https://dl.dropboxusercontent.com/scl/fi/pjxqq6ktsp0f757m1xluf/ingrid-02.jpg?rlkey=kyua0qoxfszksbkvl6vmr7bje&amp;dl=0","Click to download Image")</f>
      </c>
      <c r="B3654" s="0">
        <f>HYPERLINK("https://dl.dropboxusercontent.com/scl/fi/ug8i5e19e419vif8yn9w3/size-chartinfant-toddler-b.jpg?rlkey=367764rmloybfe5nalw20rgtj&amp;dl=0","Click to download SizeChart")</f>
      </c>
      <c r="C3654" s="0" t="inlineStr">
        <is>
          <t>Ingrid Toddler Sundress</t>
        </is>
      </c>
      <c r="D3654" s="1">
        <v>99831</v>
      </c>
      <c r="E3654" s="0" t="inlineStr">
        <is>
          <t>INGRID:99831- 3T</t>
        </is>
      </c>
      <c r="G3654" s="0" t="inlineStr">
        <is>
          <t>TODDLER</t>
        </is>
      </c>
      <c r="H3654" s="0" t="inlineStr">
        <is>
          <t>3T</t>
        </is>
      </c>
      <c r="I3654" s="0">
        <v>26.99</v>
      </c>
      <c r="J3654" s="0">
        <v>15</v>
      </c>
    </row>
    <row r="3655" spans="1:10" customHeight="0">
      <c r="A3655" s="0">
        <f>HYPERLINK("https://dl.dropboxusercontent.com/scl/fi/pjxqq6ktsp0f757m1xluf/ingrid-02.jpg?rlkey=kyua0qoxfszksbkvl6vmr7bje&amp;dl=0","Click to download Image")</f>
      </c>
      <c r="B3655" s="0">
        <f>HYPERLINK("https://dl.dropboxusercontent.com/scl/fi/ug8i5e19e419vif8yn9w3/size-chartinfant-toddler-b.jpg?rlkey=367764rmloybfe5nalw20rgtj&amp;dl=0","Click to download SizeChart")</f>
      </c>
      <c r="C3655" s="0" t="inlineStr">
        <is>
          <t>Ingrid Toddler Sundress</t>
        </is>
      </c>
      <c r="D3655" s="1">
        <v>99831</v>
      </c>
      <c r="E3655" s="0" t="inlineStr">
        <is>
          <t>INGRID:99831- 4T</t>
        </is>
      </c>
      <c r="G3655" s="0" t="inlineStr">
        <is>
          <t>TODDLER</t>
        </is>
      </c>
      <c r="H3655" s="0" t="inlineStr">
        <is>
          <t>4T</t>
        </is>
      </c>
      <c r="I3655" s="0">
        <v>26.99</v>
      </c>
      <c r="J3655" s="0">
        <v>18</v>
      </c>
    </row>
    <row r="3656" spans="1:10" customHeight="0">
      <c r="A3656" s="0">
        <f>HYPERLINK("https://dl.dropboxusercontent.com/scl/fi/pjxqq6ktsp0f757m1xluf/ingrid-02.jpg?rlkey=kyua0qoxfszksbkvl6vmr7bje&amp;dl=0","Click to download Image")</f>
      </c>
      <c r="B3656" s="0">
        <f>HYPERLINK("https://dl.dropboxusercontent.com/scl/fi/ug8i5e19e419vif8yn9w3/size-chartinfant-toddler-b.jpg?rlkey=367764rmloybfe5nalw20rgtj&amp;dl=0","Click to download SizeChart")</f>
      </c>
      <c r="C3656" s="0" t="inlineStr">
        <is>
          <t>Ingrid Toddler Sundress</t>
        </is>
      </c>
      <c r="D3656" s="1">
        <v>99831</v>
      </c>
      <c r="E3656" s="0" t="inlineStr">
        <is>
          <t>INGRID:99831- 5/6T</t>
        </is>
      </c>
      <c r="G3656" s="0" t="inlineStr">
        <is>
          <t>TODDLER</t>
        </is>
      </c>
      <c r="H3656" s="0" t="inlineStr">
        <is>
          <t>5/6</t>
        </is>
      </c>
      <c r="I3656" s="0">
        <v>26.99</v>
      </c>
      <c r="J3656" s="0">
        <v>0</v>
      </c>
    </row>
    <row r="3657" spans="1:10" customHeight="0">
      <c r="A3657" s="0">
        <f>HYPERLINK("https://dl.dropboxusercontent.com/scl/fi/pjxqq6ktsp0f757m1xluf/ingrid-02.jpg?rlkey=kyua0qoxfszksbkvl6vmr7bje&amp;dl=0","Click to download Image")</f>
      </c>
      <c r="B3657" s="0">
        <f>HYPERLINK("https://dl.dropboxusercontent.com/scl/fi/ug8i5e19e419vif8yn9w3/size-chartinfant-toddler-b.jpg?rlkey=367764rmloybfe5nalw20rgtj&amp;dl=0","Click to download SizeChart")</f>
      </c>
      <c r="C3657" s="0" t="inlineStr">
        <is>
          <t>Ingrid Toddler Sundress</t>
        </is>
      </c>
      <c r="D3657" s="1">
        <v>99831</v>
      </c>
      <c r="E3657" s="0" t="inlineStr">
        <is>
          <t>INGRID:99831- 6X</t>
        </is>
      </c>
      <c r="G3657" s="0" t="inlineStr">
        <is>
          <t>TODDLER</t>
        </is>
      </c>
      <c r="H3657" s="0" t="inlineStr">
        <is>
          <t>6X</t>
        </is>
      </c>
      <c r="I3657" s="0">
        <v>26.99</v>
      </c>
      <c r="J3657" s="0">
        <v>3</v>
      </c>
    </row>
    <row r="3658" spans="1:10" customHeight="0">
      <c r="A3658" s="0">
        <f>HYPERLINK("https://dl.dropboxusercontent.com/scl/fi/re4u7zjfowddv3ioxu42e/haley-01.jpg?rlkey=j6oxe9ao148f1qd4ugbdtbxqr&amp;dl=0","Click to download Image")</f>
      </c>
      <c r="B3658" s="0">
        <f>HYPERLINK("https://dl.dropboxusercontent.com/scl/fi/rfz5va8rqmdj1esf26hm2/size-chartladies-c.jpg?rlkey=ej6gosa0t3bcpkjg87wc3p84z&amp;dl=0","Click to download SizeChart")</f>
      </c>
      <c r="C3658" s="0" t="inlineStr">
        <is>
          <t>Haley Women's Fitness Jacket</t>
        </is>
      </c>
      <c r="D3658" s="1">
        <v>96388</v>
      </c>
      <c r="E3658" s="0" t="inlineStr">
        <is>
          <t>HALEY:96388A-S</t>
        </is>
      </c>
      <c r="G3658" s="0" t="inlineStr">
        <is>
          <t>WOMENS</t>
        </is>
      </c>
      <c r="H3658" s="0" t="inlineStr">
        <is>
          <t>S</t>
        </is>
      </c>
      <c r="I3658" s="0">
        <v>59.99</v>
      </c>
      <c r="J3658" s="0">
        <v>19</v>
      </c>
    </row>
    <row r="3659" spans="1:10" customHeight="0">
      <c r="A3659" s="0">
        <f>HYPERLINK("https://dl.dropboxusercontent.com/scl/fi/re4u7zjfowddv3ioxu42e/haley-01.jpg?rlkey=j6oxe9ao148f1qd4ugbdtbxqr&amp;dl=0","Click to download Image")</f>
      </c>
      <c r="B3659" s="0">
        <f>HYPERLINK("https://dl.dropboxusercontent.com/scl/fi/rfz5va8rqmdj1esf26hm2/size-chartladies-c.jpg?rlkey=ej6gosa0t3bcpkjg87wc3p84z&amp;dl=0","Click to download SizeChart")</f>
      </c>
      <c r="C3659" s="0" t="inlineStr">
        <is>
          <t>Haley Women's Fitness Jacket</t>
        </is>
      </c>
      <c r="D3659" s="1">
        <v>96388</v>
      </c>
      <c r="E3659" s="0" t="inlineStr">
        <is>
          <t>HALEY:96388B-M</t>
        </is>
      </c>
      <c r="G3659" s="0" t="inlineStr">
        <is>
          <t>WOMENS</t>
        </is>
      </c>
      <c r="H3659" s="0" t="inlineStr">
        <is>
          <t>M</t>
        </is>
      </c>
      <c r="I3659" s="0">
        <v>59.99</v>
      </c>
      <c r="J3659" s="0">
        <v>14</v>
      </c>
    </row>
    <row r="3660" spans="1:10" customHeight="0">
      <c r="A3660" s="0">
        <f>HYPERLINK("https://dl.dropboxusercontent.com/scl/fi/re4u7zjfowddv3ioxu42e/haley-01.jpg?rlkey=j6oxe9ao148f1qd4ugbdtbxqr&amp;dl=0","Click to download Image")</f>
      </c>
      <c r="B3660" s="0">
        <f>HYPERLINK("https://dl.dropboxusercontent.com/scl/fi/rfz5va8rqmdj1esf26hm2/size-chartladies-c.jpg?rlkey=ej6gosa0t3bcpkjg87wc3p84z&amp;dl=0","Click to download SizeChart")</f>
      </c>
      <c r="C3660" s="0" t="inlineStr">
        <is>
          <t>Haley Women's Fitness Jacket</t>
        </is>
      </c>
      <c r="D3660" s="1">
        <v>96388</v>
      </c>
      <c r="E3660" s="0" t="inlineStr">
        <is>
          <t>HALEY:96388C-L</t>
        </is>
      </c>
      <c r="G3660" s="0" t="inlineStr">
        <is>
          <t>WOMENS</t>
        </is>
      </c>
      <c r="H3660" s="0" t="inlineStr">
        <is>
          <t>L</t>
        </is>
      </c>
      <c r="I3660" s="0">
        <v>59.99</v>
      </c>
      <c r="J3660" s="0">
        <v>70</v>
      </c>
    </row>
    <row r="3661" spans="1:10" customHeight="0">
      <c r="A3661" s="0">
        <f>HYPERLINK("https://dl.dropboxusercontent.com/scl/fi/re4u7zjfowddv3ioxu42e/haley-01.jpg?rlkey=j6oxe9ao148f1qd4ugbdtbxqr&amp;dl=0","Click to download Image")</f>
      </c>
      <c r="B3661" s="0">
        <f>HYPERLINK("https://dl.dropboxusercontent.com/scl/fi/rfz5va8rqmdj1esf26hm2/size-chartladies-c.jpg?rlkey=ej6gosa0t3bcpkjg87wc3p84z&amp;dl=0","Click to download SizeChart")</f>
      </c>
      <c r="C3661" s="0" t="inlineStr">
        <is>
          <t>Haley Women's Fitness Jacket</t>
        </is>
      </c>
      <c r="D3661" s="1">
        <v>96388</v>
      </c>
      <c r="E3661" s="0" t="inlineStr">
        <is>
          <t>HALEY:96388D-XL</t>
        </is>
      </c>
      <c r="G3661" s="0" t="inlineStr">
        <is>
          <t>WOMENS</t>
        </is>
      </c>
      <c r="H3661" s="0" t="inlineStr">
        <is>
          <t>XL</t>
        </is>
      </c>
      <c r="I3661" s="0">
        <v>59.99</v>
      </c>
      <c r="J3661" s="0">
        <v>84</v>
      </c>
    </row>
    <row r="3662" spans="1:10" customHeight="0">
      <c r="A3662" s="0">
        <f>HYPERLINK("https://dl.dropboxusercontent.com/scl/fi/re4u7zjfowddv3ioxu42e/haley-01.jpg?rlkey=j6oxe9ao148f1qd4ugbdtbxqr&amp;dl=0","Click to download Image")</f>
      </c>
      <c r="B3662" s="0">
        <f>HYPERLINK("https://dl.dropboxusercontent.com/scl/fi/rfz5va8rqmdj1esf26hm2/size-chartladies-c.jpg?rlkey=ej6gosa0t3bcpkjg87wc3p84z&amp;dl=0","Click to download SizeChart")</f>
      </c>
      <c r="C3662" s="0" t="inlineStr">
        <is>
          <t>Haley Women's Fitness Jacket</t>
        </is>
      </c>
      <c r="D3662" s="1">
        <v>96388</v>
      </c>
      <c r="E3662" s="0" t="inlineStr">
        <is>
          <t>HALEY:96388E-2XL</t>
        </is>
      </c>
      <c r="G3662" s="0" t="inlineStr">
        <is>
          <t>WOMENS</t>
        </is>
      </c>
      <c r="H3662" s="0" t="inlineStr">
        <is>
          <t>2XL</t>
        </is>
      </c>
      <c r="I3662" s="0">
        <v>61.99</v>
      </c>
      <c r="J3662" s="0">
        <v>31</v>
      </c>
    </row>
    <row r="3663" spans="1:10" customHeight="0">
      <c r="A3663" s="0">
        <f>HYPERLINK("https://dl.dropboxusercontent.com/scl/fi/rw1zrxdk1c9o1150bnkjx/104373af.jpg?rlkey=765bjlnkdfckqf9vtns5hzq60&amp;dl=0","Click to download Image")</f>
      </c>
      <c r="B3663" s="0">
        <f>HYPERLINK("https://dl.dropboxusercontent.com/scl/fi/191iz5n0ghczycn6xibl0/mens-a.jpg?rlkey=08nhk92prwa42znmrbz9hj7wq&amp;dl=0","Click to download SizeChart")</f>
      </c>
      <c r="C3663" s="0" t="inlineStr">
        <is>
          <t>Brett Men's Half Zip Pullover</t>
        </is>
      </c>
      <c r="D3663" s="1">
        <v>104373</v>
      </c>
      <c r="E3663" s="0" t="inlineStr">
        <is>
          <t>BRETT:104373A-S</t>
        </is>
      </c>
      <c r="G3663" s="0" t="inlineStr">
        <is>
          <t>MENS</t>
        </is>
      </c>
      <c r="I3663" s="0">
        <v>59.99</v>
      </c>
      <c r="J3663" s="0">
        <v>73</v>
      </c>
    </row>
    <row r="3664" spans="1:10" customHeight="0">
      <c r="A3664" s="0">
        <f>HYPERLINK("https://dl.dropboxusercontent.com/scl/fi/rw1zrxdk1c9o1150bnkjx/104373af.jpg?rlkey=765bjlnkdfckqf9vtns5hzq60&amp;dl=0","Click to download Image")</f>
      </c>
      <c r="B3664" s="0">
        <f>HYPERLINK("https://dl.dropboxusercontent.com/scl/fi/191iz5n0ghczycn6xibl0/mens-a.jpg?rlkey=08nhk92prwa42znmrbz9hj7wq&amp;dl=0","Click to download SizeChart")</f>
      </c>
      <c r="C3664" s="0" t="inlineStr">
        <is>
          <t>Brett Men's Half Zip Pullover</t>
        </is>
      </c>
      <c r="D3664" s="1">
        <v>104373</v>
      </c>
      <c r="E3664" s="0" t="inlineStr">
        <is>
          <t>BRETT:104373B-M</t>
        </is>
      </c>
      <c r="G3664" s="0" t="inlineStr">
        <is>
          <t>MENS</t>
        </is>
      </c>
      <c r="I3664" s="0">
        <v>59.99</v>
      </c>
      <c r="J3664" s="0">
        <v>63</v>
      </c>
    </row>
    <row r="3665" spans="1:10" customHeight="0">
      <c r="A3665" s="0">
        <f>HYPERLINK("https://dl.dropboxusercontent.com/scl/fi/rw1zrxdk1c9o1150bnkjx/104373af.jpg?rlkey=765bjlnkdfckqf9vtns5hzq60&amp;dl=0","Click to download Image")</f>
      </c>
      <c r="B3665" s="0">
        <f>HYPERLINK("https://dl.dropboxusercontent.com/scl/fi/191iz5n0ghczycn6xibl0/mens-a.jpg?rlkey=08nhk92prwa42znmrbz9hj7wq&amp;dl=0","Click to download SizeChart")</f>
      </c>
      <c r="C3665" s="0" t="inlineStr">
        <is>
          <t>Brett Men's Half Zip Pullover</t>
        </is>
      </c>
      <c r="D3665" s="1">
        <v>104373</v>
      </c>
      <c r="E3665" s="0" t="inlineStr">
        <is>
          <t>BRETT:104373C-L</t>
        </is>
      </c>
      <c r="G3665" s="0" t="inlineStr">
        <is>
          <t>MENS</t>
        </is>
      </c>
      <c r="I3665" s="0">
        <v>59.99</v>
      </c>
      <c r="J3665" s="0">
        <v>14</v>
      </c>
    </row>
    <row r="3666" spans="1:10" customHeight="0">
      <c r="A3666" s="0">
        <f>HYPERLINK("https://dl.dropboxusercontent.com/scl/fi/rw1zrxdk1c9o1150bnkjx/104373af.jpg?rlkey=765bjlnkdfckqf9vtns5hzq60&amp;dl=0","Click to download Image")</f>
      </c>
      <c r="B3666" s="0">
        <f>HYPERLINK("https://dl.dropboxusercontent.com/scl/fi/191iz5n0ghczycn6xibl0/mens-a.jpg?rlkey=08nhk92prwa42znmrbz9hj7wq&amp;dl=0","Click to download SizeChart")</f>
      </c>
      <c r="C3666" s="0" t="inlineStr">
        <is>
          <t>Brett Men's Half Zip Pullover</t>
        </is>
      </c>
      <c r="D3666" s="1">
        <v>104373</v>
      </c>
      <c r="E3666" s="0" t="inlineStr">
        <is>
          <t>BRETT:104373D-XL</t>
        </is>
      </c>
      <c r="G3666" s="0" t="inlineStr">
        <is>
          <t>MENS</t>
        </is>
      </c>
      <c r="I3666" s="0">
        <v>59.99</v>
      </c>
      <c r="J3666" s="0">
        <v>0</v>
      </c>
    </row>
    <row r="3667" spans="1:10" customHeight="0">
      <c r="A3667" s="0">
        <f>HYPERLINK("https://dl.dropboxusercontent.com/scl/fi/rw1zrxdk1c9o1150bnkjx/104373af.jpg?rlkey=765bjlnkdfckqf9vtns5hzq60&amp;dl=0","Click to download Image")</f>
      </c>
      <c r="B3667" s="0">
        <f>HYPERLINK("https://dl.dropboxusercontent.com/scl/fi/191iz5n0ghczycn6xibl0/mens-a.jpg?rlkey=08nhk92prwa42znmrbz9hj7wq&amp;dl=0","Click to download SizeChart")</f>
      </c>
      <c r="C3667" s="0" t="inlineStr">
        <is>
          <t>Brett Men's Half Zip Pullover</t>
        </is>
      </c>
      <c r="D3667" s="1">
        <v>104373</v>
      </c>
      <c r="E3667" s="0" t="inlineStr">
        <is>
          <t>BRETT:104373E-2XL</t>
        </is>
      </c>
      <c r="G3667" s="0" t="inlineStr">
        <is>
          <t>MENS</t>
        </is>
      </c>
      <c r="I3667" s="0">
        <v>59.99</v>
      </c>
      <c r="J3667" s="0">
        <v>23</v>
      </c>
    </row>
    <row r="3668" spans="1:10" customHeight="0">
      <c r="A3668" s="0">
        <f>HYPERLINK("https://dl.dropboxusercontent.com/scl/fi/rw1zrxdk1c9o1150bnkjx/104373af.jpg?rlkey=765bjlnkdfckqf9vtns5hzq60&amp;dl=0","Click to download Image")</f>
      </c>
      <c r="B3668" s="0">
        <f>HYPERLINK("https://dl.dropboxusercontent.com/scl/fi/191iz5n0ghczycn6xibl0/mens-a.jpg?rlkey=08nhk92prwa42znmrbz9hj7wq&amp;dl=0","Click to download SizeChart")</f>
      </c>
      <c r="C3668" s="0" t="inlineStr">
        <is>
          <t>Brett Men's Half Zip Pullover</t>
        </is>
      </c>
      <c r="D3668" s="1">
        <v>104373</v>
      </c>
      <c r="E3668" s="0" t="inlineStr">
        <is>
          <t>BRETT:104373F-3XL</t>
        </is>
      </c>
      <c r="G3668" s="0" t="inlineStr">
        <is>
          <t>MENS</t>
        </is>
      </c>
      <c r="I3668" s="0">
        <v>59.99</v>
      </c>
      <c r="J3668" s="0">
        <v>14</v>
      </c>
    </row>
    <row r="3669" spans="1:10" customHeight="0">
      <c r="A3669" s="0">
        <f>HYPERLINK("https://dl.dropboxusercontent.com/scl/fi/7hzvarnknxb8kix2d0a8e/99146af.jpg?rlkey=p2q3jhw07tuch7h7qkf81bb31&amp;dl=0","Click to download Image")</f>
      </c>
      <c r="B3669" s="0">
        <f>HYPERLINK("https://dl.dropboxusercontent.com/scl/fi/1ggyeejyqd2dk7zu7b61y/mens-a.jpg?rlkey=xibnc6sipduxy9qpycciymi8t&amp;dl=0","Click to download SizeChart")</f>
      </c>
      <c r="C3669" s="0" t="inlineStr">
        <is>
          <t>Curtis Men's Button Down</t>
        </is>
      </c>
      <c r="D3669" s="1">
        <v>99146</v>
      </c>
      <c r="E3669" s="0" t="inlineStr">
        <is>
          <t>CURTIS:99146A-S</t>
        </is>
      </c>
      <c r="G3669" s="0" t="inlineStr">
        <is>
          <t>MENS</t>
        </is>
      </c>
      <c r="H3669" s="0" t="inlineStr">
        <is>
          <t>S</t>
        </is>
      </c>
      <c r="I3669" s="0">
        <v>29.99</v>
      </c>
      <c r="J3669" s="0">
        <v>67</v>
      </c>
    </row>
    <row r="3670" spans="1:10" customHeight="0">
      <c r="A3670" s="0">
        <f>HYPERLINK("https://dl.dropboxusercontent.com/scl/fi/7hzvarnknxb8kix2d0a8e/99146af.jpg?rlkey=p2q3jhw07tuch7h7qkf81bb31&amp;dl=0","Click to download Image")</f>
      </c>
      <c r="B3670" s="0">
        <f>HYPERLINK("https://dl.dropboxusercontent.com/scl/fi/1ggyeejyqd2dk7zu7b61y/mens-a.jpg?rlkey=xibnc6sipduxy9qpycciymi8t&amp;dl=0","Click to download SizeChart")</f>
      </c>
      <c r="C3670" s="0" t="inlineStr">
        <is>
          <t>Curtis Men's Button Down</t>
        </is>
      </c>
      <c r="D3670" s="1">
        <v>99146</v>
      </c>
      <c r="E3670" s="0" t="inlineStr">
        <is>
          <t>CURTIS:99146B-M</t>
        </is>
      </c>
      <c r="G3670" s="0" t="inlineStr">
        <is>
          <t>MENS</t>
        </is>
      </c>
      <c r="H3670" s="0" t="inlineStr">
        <is>
          <t>M</t>
        </is>
      </c>
      <c r="I3670" s="0">
        <v>29.99</v>
      </c>
      <c r="J3670" s="0">
        <v>70</v>
      </c>
    </row>
    <row r="3671" spans="1:10" customHeight="0">
      <c r="A3671" s="0">
        <f>HYPERLINK("https://dl.dropboxusercontent.com/scl/fi/7hzvarnknxb8kix2d0a8e/99146af.jpg?rlkey=p2q3jhw07tuch7h7qkf81bb31&amp;dl=0","Click to download Image")</f>
      </c>
      <c r="B3671" s="0">
        <f>HYPERLINK("https://dl.dropboxusercontent.com/scl/fi/1ggyeejyqd2dk7zu7b61y/mens-a.jpg?rlkey=xibnc6sipduxy9qpycciymi8t&amp;dl=0","Click to download SizeChart")</f>
      </c>
      <c r="C3671" s="0" t="inlineStr">
        <is>
          <t>Curtis Men's Button Down</t>
        </is>
      </c>
      <c r="D3671" s="1">
        <v>99146</v>
      </c>
      <c r="E3671" s="0" t="inlineStr">
        <is>
          <t>CURTIS:99146C-L</t>
        </is>
      </c>
      <c r="G3671" s="0" t="inlineStr">
        <is>
          <t>MENS</t>
        </is>
      </c>
      <c r="H3671" s="0" t="inlineStr">
        <is>
          <t>L</t>
        </is>
      </c>
      <c r="I3671" s="0">
        <v>29.99</v>
      </c>
      <c r="J3671" s="0">
        <v>78</v>
      </c>
    </row>
    <row r="3672" spans="1:10" customHeight="0">
      <c r="A3672" s="0">
        <f>HYPERLINK("https://dl.dropboxusercontent.com/scl/fi/7hzvarnknxb8kix2d0a8e/99146af.jpg?rlkey=p2q3jhw07tuch7h7qkf81bb31&amp;dl=0","Click to download Image")</f>
      </c>
      <c r="B3672" s="0">
        <f>HYPERLINK("https://dl.dropboxusercontent.com/scl/fi/1ggyeejyqd2dk7zu7b61y/mens-a.jpg?rlkey=xibnc6sipduxy9qpycciymi8t&amp;dl=0","Click to download SizeChart")</f>
      </c>
      <c r="C3672" s="0" t="inlineStr">
        <is>
          <t>Curtis Men's Button Down</t>
        </is>
      </c>
      <c r="D3672" s="1">
        <v>99146</v>
      </c>
      <c r="E3672" s="0" t="inlineStr">
        <is>
          <t>CURTIS:99146D-XL</t>
        </is>
      </c>
      <c r="G3672" s="0" t="inlineStr">
        <is>
          <t>MENS</t>
        </is>
      </c>
      <c r="H3672" s="0" t="inlineStr">
        <is>
          <t>XL</t>
        </is>
      </c>
      <c r="I3672" s="0">
        <v>29.99</v>
      </c>
      <c r="J3672" s="0">
        <v>87</v>
      </c>
    </row>
    <row r="3673" spans="1:10" customHeight="0">
      <c r="A3673" s="0">
        <f>HYPERLINK("https://dl.dropboxusercontent.com/scl/fi/7hzvarnknxb8kix2d0a8e/99146af.jpg?rlkey=p2q3jhw07tuch7h7qkf81bb31&amp;dl=0","Click to download Image")</f>
      </c>
      <c r="B3673" s="0">
        <f>HYPERLINK("https://dl.dropboxusercontent.com/scl/fi/1ggyeejyqd2dk7zu7b61y/mens-a.jpg?rlkey=xibnc6sipduxy9qpycciymi8t&amp;dl=0","Click to download SizeChart")</f>
      </c>
      <c r="C3673" s="0" t="inlineStr">
        <is>
          <t>Curtis Men's Button Down</t>
        </is>
      </c>
      <c r="D3673" s="1">
        <v>99146</v>
      </c>
      <c r="E3673" s="0" t="inlineStr">
        <is>
          <t>CURTIS:99146E-2XL</t>
        </is>
      </c>
      <c r="G3673" s="0" t="inlineStr">
        <is>
          <t>MENS</t>
        </is>
      </c>
      <c r="H3673" s="0" t="inlineStr">
        <is>
          <t>2XL</t>
        </is>
      </c>
      <c r="I3673" s="0">
        <v>31.99</v>
      </c>
      <c r="J3673" s="0">
        <v>49</v>
      </c>
    </row>
    <row r="3674" spans="1:10" customHeight="0">
      <c r="A3674" s="0">
        <f>HYPERLINK("https://dl.dropboxusercontent.com/scl/fi/7hzvarnknxb8kix2d0a8e/99146af.jpg?rlkey=p2q3jhw07tuch7h7qkf81bb31&amp;dl=0","Click to download Image")</f>
      </c>
      <c r="B3674" s="0">
        <f>HYPERLINK("https://dl.dropboxusercontent.com/scl/fi/1ggyeejyqd2dk7zu7b61y/mens-a.jpg?rlkey=xibnc6sipduxy9qpycciymi8t&amp;dl=0","Click to download SizeChart")</f>
      </c>
      <c r="C3674" s="0" t="inlineStr">
        <is>
          <t>Curtis Men's Button Down</t>
        </is>
      </c>
      <c r="D3674" s="1">
        <v>99146</v>
      </c>
      <c r="E3674" s="0" t="inlineStr">
        <is>
          <t>CURTIS:99146F-3XL</t>
        </is>
      </c>
      <c r="G3674" s="0" t="inlineStr">
        <is>
          <t>MENS</t>
        </is>
      </c>
      <c r="H3674" s="0" t="inlineStr">
        <is>
          <t>3XL</t>
        </is>
      </c>
      <c r="I3674" s="0">
        <v>31.99</v>
      </c>
      <c r="J3674" s="0">
        <v>3</v>
      </c>
    </row>
    <row r="3675" spans="1:10" customHeight="0">
      <c r="A3675" s="0">
        <f>HYPERLINK("https://dl.dropboxusercontent.com/scl/fi/u6wudnd51fnugurzitl8m/99147af.jpg?rlkey=6u8gmtkns4xutdmqlg03acnrh&amp;dl=0","Click to download Image")</f>
      </c>
      <c r="B3675" s="0">
        <f>HYPERLINK("https://dl.dropboxusercontent.com/scl/fi/0s1sg6xpavifdyyqa7hfg/size-chartladies-c.jpg?rlkey=fivngqca5n5j6kheml8snuih4&amp;dl=0","Click to download SizeChart")</f>
      </c>
      <c r="C3675" s="0" t="inlineStr">
        <is>
          <t>Carla Women's Button Down</t>
        </is>
      </c>
      <c r="D3675" s="1">
        <v>99147</v>
      </c>
      <c r="E3675" s="0" t="inlineStr">
        <is>
          <t>CARLA:99147A-S</t>
        </is>
      </c>
      <c r="G3675" s="0" t="inlineStr">
        <is>
          <t>WOMENS</t>
        </is>
      </c>
      <c r="H3675" s="0" t="inlineStr">
        <is>
          <t>S</t>
        </is>
      </c>
      <c r="I3675" s="0">
        <v>29.99</v>
      </c>
      <c r="J3675" s="0">
        <v>79</v>
      </c>
    </row>
    <row r="3676" spans="1:10" customHeight="0">
      <c r="A3676" s="0">
        <f>HYPERLINK("https://dl.dropboxusercontent.com/scl/fi/u6wudnd51fnugurzitl8m/99147af.jpg?rlkey=6u8gmtkns4xutdmqlg03acnrh&amp;dl=0","Click to download Image")</f>
      </c>
      <c r="B3676" s="0">
        <f>HYPERLINK("https://dl.dropboxusercontent.com/scl/fi/0s1sg6xpavifdyyqa7hfg/size-chartladies-c.jpg?rlkey=fivngqca5n5j6kheml8snuih4&amp;dl=0","Click to download SizeChart")</f>
      </c>
      <c r="C3676" s="0" t="inlineStr">
        <is>
          <t>Carla Women's Button Down</t>
        </is>
      </c>
      <c r="D3676" s="1">
        <v>99147</v>
      </c>
      <c r="E3676" s="0" t="inlineStr">
        <is>
          <t>CARLA:99147B-M</t>
        </is>
      </c>
      <c r="G3676" s="0" t="inlineStr">
        <is>
          <t>WOMENS</t>
        </is>
      </c>
      <c r="H3676" s="0" t="inlineStr">
        <is>
          <t>M</t>
        </is>
      </c>
      <c r="I3676" s="0">
        <v>29.99</v>
      </c>
      <c r="J3676" s="0">
        <v>99</v>
      </c>
    </row>
    <row r="3677" spans="1:10" customHeight="0">
      <c r="A3677" s="0">
        <f>HYPERLINK("https://dl.dropboxusercontent.com/scl/fi/u6wudnd51fnugurzitl8m/99147af.jpg?rlkey=6u8gmtkns4xutdmqlg03acnrh&amp;dl=0","Click to download Image")</f>
      </c>
      <c r="B3677" s="0">
        <f>HYPERLINK("https://dl.dropboxusercontent.com/scl/fi/0s1sg6xpavifdyyqa7hfg/size-chartladies-c.jpg?rlkey=fivngqca5n5j6kheml8snuih4&amp;dl=0","Click to download SizeChart")</f>
      </c>
      <c r="C3677" s="0" t="inlineStr">
        <is>
          <t>Carla Women's Button Down</t>
        </is>
      </c>
      <c r="D3677" s="1">
        <v>99147</v>
      </c>
      <c r="E3677" s="0" t="inlineStr">
        <is>
          <t>CARLA:99147C-L</t>
        </is>
      </c>
      <c r="G3677" s="0" t="inlineStr">
        <is>
          <t>WOMENS</t>
        </is>
      </c>
      <c r="H3677" s="0" t="inlineStr">
        <is>
          <t>L</t>
        </is>
      </c>
      <c r="I3677" s="0">
        <v>29.99</v>
      </c>
      <c r="J3677" s="0">
        <v>105</v>
      </c>
    </row>
    <row r="3678" spans="1:10" customHeight="0">
      <c r="A3678" s="0">
        <f>HYPERLINK("https://dl.dropboxusercontent.com/scl/fi/u6wudnd51fnugurzitl8m/99147af.jpg?rlkey=6u8gmtkns4xutdmqlg03acnrh&amp;dl=0","Click to download Image")</f>
      </c>
      <c r="B3678" s="0">
        <f>HYPERLINK("https://dl.dropboxusercontent.com/scl/fi/0s1sg6xpavifdyyqa7hfg/size-chartladies-c.jpg?rlkey=fivngqca5n5j6kheml8snuih4&amp;dl=0","Click to download SizeChart")</f>
      </c>
      <c r="C3678" s="0" t="inlineStr">
        <is>
          <t>Carla Women's Button Down</t>
        </is>
      </c>
      <c r="D3678" s="1">
        <v>99147</v>
      </c>
      <c r="E3678" s="0" t="inlineStr">
        <is>
          <t>CARLA:99147D-XL</t>
        </is>
      </c>
      <c r="G3678" s="0" t="inlineStr">
        <is>
          <t>WOMENS</t>
        </is>
      </c>
      <c r="H3678" s="0" t="inlineStr">
        <is>
          <t>XL</t>
        </is>
      </c>
      <c r="I3678" s="0">
        <v>29.99</v>
      </c>
      <c r="J3678" s="0">
        <v>107</v>
      </c>
    </row>
    <row r="3679" spans="1:10" customHeight="0">
      <c r="A3679" s="0">
        <f>HYPERLINK("https://dl.dropboxusercontent.com/scl/fi/u6wudnd51fnugurzitl8m/99147af.jpg?rlkey=6u8gmtkns4xutdmqlg03acnrh&amp;dl=0","Click to download Image")</f>
      </c>
      <c r="B3679" s="0">
        <f>HYPERLINK("https://dl.dropboxusercontent.com/scl/fi/0s1sg6xpavifdyyqa7hfg/size-chartladies-c.jpg?rlkey=fivngqca5n5j6kheml8snuih4&amp;dl=0","Click to download SizeChart")</f>
      </c>
      <c r="C3679" s="0" t="inlineStr">
        <is>
          <t>Carla Women's Button Down</t>
        </is>
      </c>
      <c r="D3679" s="1">
        <v>99147</v>
      </c>
      <c r="E3679" s="0" t="inlineStr">
        <is>
          <t>CARLA:99147E-2XL</t>
        </is>
      </c>
      <c r="G3679" s="0" t="inlineStr">
        <is>
          <t>WOMENS</t>
        </is>
      </c>
      <c r="H3679" s="0" t="inlineStr">
        <is>
          <t>2XL</t>
        </is>
      </c>
      <c r="I3679" s="0">
        <v>31.99</v>
      </c>
      <c r="J3679" s="0">
        <v>76</v>
      </c>
    </row>
    <row r="3680" spans="1:10" customHeight="0">
      <c r="A3680" s="0">
        <f>HYPERLINK("https://dl.dropboxusercontent.com/scl/fi/u6wudnd51fnugurzitl8m/99147af.jpg?rlkey=6u8gmtkns4xutdmqlg03acnrh&amp;dl=0","Click to download Image")</f>
      </c>
      <c r="B3680" s="0">
        <f>HYPERLINK("https://dl.dropboxusercontent.com/scl/fi/0s1sg6xpavifdyyqa7hfg/size-chartladies-c.jpg?rlkey=fivngqca5n5j6kheml8snuih4&amp;dl=0","Click to download SizeChart")</f>
      </c>
      <c r="C3680" s="0" t="inlineStr">
        <is>
          <t>Carla Women's Button Down</t>
        </is>
      </c>
      <c r="D3680" s="1">
        <v>99147</v>
      </c>
      <c r="E3680" s="0" t="inlineStr">
        <is>
          <t>CARLA:99147F-3XL</t>
        </is>
      </c>
      <c r="G3680" s="0" t="inlineStr">
        <is>
          <t>WOMENS</t>
        </is>
      </c>
      <c r="H3680" s="0" t="inlineStr">
        <is>
          <t>3XL</t>
        </is>
      </c>
      <c r="I3680" s="0">
        <v>31.99</v>
      </c>
      <c r="J3680" s="0">
        <v>7</v>
      </c>
    </row>
    <row r="3681" spans="1:10" customHeight="0">
      <c r="A3681" s="0">
        <f>HYPERLINK("https://dl.dropboxusercontent.com/scl/fi/tqjk9lj6nsnu7iw2003tn/96920f.jpg?rlkey=zauzig91maphf9jgvnpvpw7cu&amp;dl=0","Click to download Image")</f>
      </c>
      <c r="B3681" s="0">
        <f>HYPERLINK("https://dl.dropboxusercontent.com/scl/fi/czwlrwlx4170wtwhleccc/size-chartladies-c.jpg?rlkey=rrrvu9gmkp7fq4mbiz7e5l4ym&amp;dl=0","Click to download SizeChart")</f>
      </c>
      <c r="C3681" s="0" t="inlineStr">
        <is>
          <t>Ally Tie-Bank Women's Tank</t>
        </is>
      </c>
      <c r="D3681" s="1">
        <v>96920</v>
      </c>
      <c r="E3681" s="0" t="inlineStr">
        <is>
          <t>ALLY:96920A-S</t>
        </is>
      </c>
      <c r="G3681" s="0" t="inlineStr">
        <is>
          <t>WOMENS</t>
        </is>
      </c>
      <c r="H3681" s="0" t="inlineStr">
        <is>
          <t>S</t>
        </is>
      </c>
      <c r="I3681" s="0">
        <v>44.99</v>
      </c>
      <c r="J3681" s="0">
        <v>41</v>
      </c>
    </row>
    <row r="3682" spans="1:10" customHeight="0">
      <c r="A3682" s="0">
        <f>HYPERLINK("https://dl.dropboxusercontent.com/scl/fi/tqjk9lj6nsnu7iw2003tn/96920f.jpg?rlkey=zauzig91maphf9jgvnpvpw7cu&amp;dl=0","Click to download Image")</f>
      </c>
      <c r="B3682" s="0">
        <f>HYPERLINK("https://dl.dropboxusercontent.com/scl/fi/czwlrwlx4170wtwhleccc/size-chartladies-c.jpg?rlkey=rrrvu9gmkp7fq4mbiz7e5l4ym&amp;dl=0","Click to download SizeChart")</f>
      </c>
      <c r="C3682" s="0" t="inlineStr">
        <is>
          <t>Ally Tie-Bank Women's Tank</t>
        </is>
      </c>
      <c r="D3682" s="1">
        <v>96920</v>
      </c>
      <c r="E3682" s="0" t="inlineStr">
        <is>
          <t>ALLY:96920B-M</t>
        </is>
      </c>
      <c r="G3682" s="0" t="inlineStr">
        <is>
          <t>WOMENS</t>
        </is>
      </c>
      <c r="H3682" s="0" t="inlineStr">
        <is>
          <t>M</t>
        </is>
      </c>
      <c r="I3682" s="0">
        <v>44.99</v>
      </c>
      <c r="J3682" s="0">
        <v>48</v>
      </c>
    </row>
    <row r="3683" spans="1:10" customHeight="0">
      <c r="A3683" s="0">
        <f>HYPERLINK("https://dl.dropboxusercontent.com/scl/fi/tqjk9lj6nsnu7iw2003tn/96920f.jpg?rlkey=zauzig91maphf9jgvnpvpw7cu&amp;dl=0","Click to download Image")</f>
      </c>
      <c r="B3683" s="0">
        <f>HYPERLINK("https://dl.dropboxusercontent.com/scl/fi/czwlrwlx4170wtwhleccc/size-chartladies-c.jpg?rlkey=rrrvu9gmkp7fq4mbiz7e5l4ym&amp;dl=0","Click to download SizeChart")</f>
      </c>
      <c r="C3683" s="0" t="inlineStr">
        <is>
          <t>Ally Tie-Bank Women's Tank</t>
        </is>
      </c>
      <c r="D3683" s="1">
        <v>96920</v>
      </c>
      <c r="E3683" s="0" t="inlineStr">
        <is>
          <t>ALLY:96920C-L</t>
        </is>
      </c>
      <c r="G3683" s="0" t="inlineStr">
        <is>
          <t>WOMENS</t>
        </is>
      </c>
      <c r="H3683" s="0" t="inlineStr">
        <is>
          <t>L</t>
        </is>
      </c>
      <c r="I3683" s="0">
        <v>44.99</v>
      </c>
      <c r="J3683" s="0">
        <v>120</v>
      </c>
    </row>
    <row r="3684" spans="1:10" customHeight="0">
      <c r="A3684" s="0">
        <f>HYPERLINK("https://dl.dropboxusercontent.com/scl/fi/tqjk9lj6nsnu7iw2003tn/96920f.jpg?rlkey=zauzig91maphf9jgvnpvpw7cu&amp;dl=0","Click to download Image")</f>
      </c>
      <c r="B3684" s="0">
        <f>HYPERLINK("https://dl.dropboxusercontent.com/scl/fi/czwlrwlx4170wtwhleccc/size-chartladies-c.jpg?rlkey=rrrvu9gmkp7fq4mbiz7e5l4ym&amp;dl=0","Click to download SizeChart")</f>
      </c>
      <c r="C3684" s="0" t="inlineStr">
        <is>
          <t>Ally Tie-Bank Women's Tank</t>
        </is>
      </c>
      <c r="D3684" s="1">
        <v>96920</v>
      </c>
      <c r="E3684" s="0" t="inlineStr">
        <is>
          <t>ALLY:96920D-XL</t>
        </is>
      </c>
      <c r="G3684" s="0" t="inlineStr">
        <is>
          <t>WOMENS</t>
        </is>
      </c>
      <c r="H3684" s="0" t="inlineStr">
        <is>
          <t>XL</t>
        </is>
      </c>
      <c r="I3684" s="0">
        <v>44.99</v>
      </c>
      <c r="J3684" s="0">
        <v>116</v>
      </c>
    </row>
    <row r="3685" spans="1:10" customHeight="0">
      <c r="A3685" s="0">
        <f>HYPERLINK("https://dl.dropboxusercontent.com/scl/fi/tqjk9lj6nsnu7iw2003tn/96920f.jpg?rlkey=zauzig91maphf9jgvnpvpw7cu&amp;dl=0","Click to download Image")</f>
      </c>
      <c r="B3685" s="0">
        <f>HYPERLINK("https://dl.dropboxusercontent.com/scl/fi/czwlrwlx4170wtwhleccc/size-chartladies-c.jpg?rlkey=rrrvu9gmkp7fq4mbiz7e5l4ym&amp;dl=0","Click to download SizeChart")</f>
      </c>
      <c r="C3685" s="0" t="inlineStr">
        <is>
          <t>Ally Tie-Bank Women's Tank</t>
        </is>
      </c>
      <c r="D3685" s="1">
        <v>96920</v>
      </c>
      <c r="E3685" s="0" t="inlineStr">
        <is>
          <t>ALLY:96920E-2XL</t>
        </is>
      </c>
      <c r="G3685" s="0" t="inlineStr">
        <is>
          <t>WOMENS</t>
        </is>
      </c>
      <c r="H3685" s="0" t="inlineStr">
        <is>
          <t>2XL</t>
        </is>
      </c>
      <c r="I3685" s="0">
        <v>46.99</v>
      </c>
      <c r="J3685" s="0">
        <v>30</v>
      </c>
    </row>
    <row r="3686" spans="1:10" customHeight="0">
      <c r="A3686" s="0">
        <f>HYPERLINK("https://dl.dropboxusercontent.com/scl/fi/3i93in9hdhcqx1z2xyodi/97079af-black.jpg?rlkey=26ixv51bmivrudiljn1bj22rn&amp;dl=0","Click to download Image")</f>
      </c>
      <c r="B3686" s="0">
        <f>HYPERLINK("https://dl.dropboxusercontent.com/scl/fi/hm943dvytb9y3ut9l7vqh/mens-a.jpg?rlkey=iq0u7frctk8qnnc8bqkyj9s1v&amp;dl=0","Click to download SizeChart")</f>
      </c>
      <c r="C3686" s="0" t="inlineStr">
        <is>
          <t>Ash Reversible Men's Shorts</t>
        </is>
      </c>
      <c r="D3686" s="1">
        <v>97079</v>
      </c>
      <c r="E3686" s="0" t="inlineStr">
        <is>
          <t>ASH:97079A-S</t>
        </is>
      </c>
      <c r="G3686" s="0" t="inlineStr">
        <is>
          <t>MENS</t>
        </is>
      </c>
      <c r="H3686" s="0" t="inlineStr">
        <is>
          <t>S</t>
        </is>
      </c>
      <c r="I3686" s="0">
        <v>39.99</v>
      </c>
      <c r="J3686" s="0">
        <v>16</v>
      </c>
    </row>
    <row r="3687" spans="1:10" customHeight="0">
      <c r="A3687" s="0">
        <f>HYPERLINK("https://dl.dropboxusercontent.com/scl/fi/3i93in9hdhcqx1z2xyodi/97079af-black.jpg?rlkey=26ixv51bmivrudiljn1bj22rn&amp;dl=0","Click to download Image")</f>
      </c>
      <c r="B3687" s="0">
        <f>HYPERLINK("https://dl.dropboxusercontent.com/scl/fi/hm943dvytb9y3ut9l7vqh/mens-a.jpg?rlkey=iq0u7frctk8qnnc8bqkyj9s1v&amp;dl=0","Click to download SizeChart")</f>
      </c>
      <c r="C3687" s="0" t="inlineStr">
        <is>
          <t>Ash Reversible Men's Shorts</t>
        </is>
      </c>
      <c r="D3687" s="1">
        <v>97079</v>
      </c>
      <c r="E3687" s="0" t="inlineStr">
        <is>
          <t>ASH:97079B-M</t>
        </is>
      </c>
      <c r="G3687" s="0" t="inlineStr">
        <is>
          <t>MENS</t>
        </is>
      </c>
      <c r="H3687" s="0" t="inlineStr">
        <is>
          <t>M</t>
        </is>
      </c>
      <c r="I3687" s="0">
        <v>39.99</v>
      </c>
      <c r="J3687" s="0">
        <v>20</v>
      </c>
    </row>
    <row r="3688" spans="1:10" customHeight="0">
      <c r="A3688" s="0">
        <f>HYPERLINK("https://dl.dropboxusercontent.com/scl/fi/3i93in9hdhcqx1z2xyodi/97079af-black.jpg?rlkey=26ixv51bmivrudiljn1bj22rn&amp;dl=0","Click to download Image")</f>
      </c>
      <c r="B3688" s="0">
        <f>HYPERLINK("https://dl.dropboxusercontent.com/scl/fi/hm943dvytb9y3ut9l7vqh/mens-a.jpg?rlkey=iq0u7frctk8qnnc8bqkyj9s1v&amp;dl=0","Click to download SizeChart")</f>
      </c>
      <c r="C3688" s="0" t="inlineStr">
        <is>
          <t>Ash Reversible Men's Shorts</t>
        </is>
      </c>
      <c r="D3688" s="1">
        <v>97079</v>
      </c>
      <c r="E3688" s="0" t="inlineStr">
        <is>
          <t>ASH:97079C-L</t>
        </is>
      </c>
      <c r="G3688" s="0" t="inlineStr">
        <is>
          <t>MENS</t>
        </is>
      </c>
      <c r="H3688" s="0" t="inlineStr">
        <is>
          <t>L</t>
        </is>
      </c>
      <c r="I3688" s="0">
        <v>39.99</v>
      </c>
      <c r="J3688" s="0">
        <v>36</v>
      </c>
    </row>
    <row r="3689" spans="1:10" customHeight="0">
      <c r="A3689" s="0">
        <f>HYPERLINK("https://dl.dropboxusercontent.com/scl/fi/3i93in9hdhcqx1z2xyodi/97079af-black.jpg?rlkey=26ixv51bmivrudiljn1bj22rn&amp;dl=0","Click to download Image")</f>
      </c>
      <c r="B3689" s="0">
        <f>HYPERLINK("https://dl.dropboxusercontent.com/scl/fi/hm943dvytb9y3ut9l7vqh/mens-a.jpg?rlkey=iq0u7frctk8qnnc8bqkyj9s1v&amp;dl=0","Click to download SizeChart")</f>
      </c>
      <c r="C3689" s="0" t="inlineStr">
        <is>
          <t>Ash Reversible Men's Shorts</t>
        </is>
      </c>
      <c r="D3689" s="1">
        <v>97079</v>
      </c>
      <c r="E3689" s="0" t="inlineStr">
        <is>
          <t>ASH:97079D-XL</t>
        </is>
      </c>
      <c r="G3689" s="0" t="inlineStr">
        <is>
          <t>MENS</t>
        </is>
      </c>
      <c r="H3689" s="0" t="inlineStr">
        <is>
          <t>XL</t>
        </is>
      </c>
      <c r="I3689" s="0">
        <v>39.99</v>
      </c>
      <c r="J3689" s="0">
        <v>38</v>
      </c>
    </row>
    <row r="3690" spans="1:10" customHeight="0">
      <c r="A3690" s="0">
        <f>HYPERLINK("https://dl.dropboxusercontent.com/scl/fi/3i93in9hdhcqx1z2xyodi/97079af-black.jpg?rlkey=26ixv51bmivrudiljn1bj22rn&amp;dl=0","Click to download Image")</f>
      </c>
      <c r="B3690" s="0">
        <f>HYPERLINK("https://dl.dropboxusercontent.com/scl/fi/hm943dvytb9y3ut9l7vqh/mens-a.jpg?rlkey=iq0u7frctk8qnnc8bqkyj9s1v&amp;dl=0","Click to download SizeChart")</f>
      </c>
      <c r="C3690" s="0" t="inlineStr">
        <is>
          <t>Ash Reversible Men's Shorts</t>
        </is>
      </c>
      <c r="D3690" s="1">
        <v>97079</v>
      </c>
      <c r="E3690" s="0" t="inlineStr">
        <is>
          <t>ASH:97079E-2XL</t>
        </is>
      </c>
      <c r="G3690" s="0" t="inlineStr">
        <is>
          <t>MENS</t>
        </is>
      </c>
      <c r="H3690" s="0" t="inlineStr">
        <is>
          <t>2XL</t>
        </is>
      </c>
      <c r="I3690" s="0">
        <v>41.99</v>
      </c>
      <c r="J3690" s="0">
        <v>32</v>
      </c>
    </row>
    <row r="3691" spans="1:10" customHeight="0">
      <c r="A3691" s="0">
        <f>HYPERLINK("https://dl.dropboxusercontent.com/scl/fi/3i93in9hdhcqx1z2xyodi/97079af-black.jpg?rlkey=26ixv51bmivrudiljn1bj22rn&amp;dl=0","Click to download Image")</f>
      </c>
      <c r="B3691" s="0">
        <f>HYPERLINK("https://dl.dropboxusercontent.com/scl/fi/hm943dvytb9y3ut9l7vqh/mens-a.jpg?rlkey=iq0u7frctk8qnnc8bqkyj9s1v&amp;dl=0","Click to download SizeChart")</f>
      </c>
      <c r="C3691" s="0" t="inlineStr">
        <is>
          <t>Ash Reversible Men's Shorts</t>
        </is>
      </c>
      <c r="D3691" s="1">
        <v>97079</v>
      </c>
      <c r="E3691" s="0" t="inlineStr">
        <is>
          <t>ASH:97079F-3XL</t>
        </is>
      </c>
      <c r="G3691" s="0" t="inlineStr">
        <is>
          <t>MENS</t>
        </is>
      </c>
      <c r="H3691" s="0" t="inlineStr">
        <is>
          <t>3XL</t>
        </is>
      </c>
      <c r="I3691" s="0">
        <v>41.99</v>
      </c>
      <c r="J3691" s="0">
        <v>20</v>
      </c>
    </row>
    <row r="3692" spans="1:10" customHeight="0">
      <c r="A3692" s="0">
        <f>HYPERLINK("https://dl.dropboxusercontent.com/scl/fi/9e2oe4e9p4wsqdjhmyf4h/98666-af.jpg?rlkey=5j655tqfwvh4tuvmmhsdzgcm4&amp;dl=0","Click to download Image")</f>
      </c>
      <c r="B3692" s="0">
        <f>HYPERLINK("https://dl.dropboxusercontent.com/scl/fi/ebbnqmg5akw80w603r1an/size-chartladies-c.jpg?rlkey=zxirid1od8ryt7yukuj22lau1&amp;dl=0","Click to download SizeChart")</f>
      </c>
      <c r="C3692" s="0" t="inlineStr">
        <is>
          <t>Charolette Women's Jacket</t>
        </is>
      </c>
      <c r="D3692" s="1">
        <v>98666</v>
      </c>
      <c r="E3692" s="0" t="inlineStr">
        <is>
          <t>CHARLOTTE:98666A-S</t>
        </is>
      </c>
      <c r="G3692" s="0" t="inlineStr">
        <is>
          <t>WOMENS</t>
        </is>
      </c>
      <c r="H3692" s="0" t="inlineStr">
        <is>
          <t>S</t>
        </is>
      </c>
      <c r="I3692" s="0">
        <v>69.99</v>
      </c>
      <c r="J3692" s="0">
        <v>68</v>
      </c>
    </row>
    <row r="3693" spans="1:10" customHeight="0">
      <c r="A3693" s="0">
        <f>HYPERLINK("https://dl.dropboxusercontent.com/scl/fi/9e2oe4e9p4wsqdjhmyf4h/98666-af.jpg?rlkey=5j655tqfwvh4tuvmmhsdzgcm4&amp;dl=0","Click to download Image")</f>
      </c>
      <c r="B3693" s="0">
        <f>HYPERLINK("https://dl.dropboxusercontent.com/scl/fi/ebbnqmg5akw80w603r1an/size-chartladies-c.jpg?rlkey=zxirid1od8ryt7yukuj22lau1&amp;dl=0","Click to download SizeChart")</f>
      </c>
      <c r="C3693" s="0" t="inlineStr">
        <is>
          <t>Charolette Women's Jacket</t>
        </is>
      </c>
      <c r="D3693" s="1">
        <v>98666</v>
      </c>
      <c r="E3693" s="0" t="inlineStr">
        <is>
          <t>CHARLOTTE:98666B-M</t>
        </is>
      </c>
      <c r="G3693" s="0" t="inlineStr">
        <is>
          <t>WOMENS</t>
        </is>
      </c>
      <c r="H3693" s="0" t="inlineStr">
        <is>
          <t>M</t>
        </is>
      </c>
      <c r="I3693" s="0">
        <v>69.99</v>
      </c>
      <c r="J3693" s="0">
        <v>69</v>
      </c>
    </row>
    <row r="3694" spans="1:10" customHeight="0">
      <c r="A3694" s="0">
        <f>HYPERLINK("https://dl.dropboxusercontent.com/scl/fi/9e2oe4e9p4wsqdjhmyf4h/98666-af.jpg?rlkey=5j655tqfwvh4tuvmmhsdzgcm4&amp;dl=0","Click to download Image")</f>
      </c>
      <c r="B3694" s="0">
        <f>HYPERLINK("https://dl.dropboxusercontent.com/scl/fi/ebbnqmg5akw80w603r1an/size-chartladies-c.jpg?rlkey=zxirid1od8ryt7yukuj22lau1&amp;dl=0","Click to download SizeChart")</f>
      </c>
      <c r="C3694" s="0" t="inlineStr">
        <is>
          <t>Charolette Women's Jacket</t>
        </is>
      </c>
      <c r="D3694" s="1">
        <v>98666</v>
      </c>
      <c r="E3694" s="0" t="inlineStr">
        <is>
          <t>CHARLOTTE:98666C-L</t>
        </is>
      </c>
      <c r="G3694" s="0" t="inlineStr">
        <is>
          <t>WOMENS</t>
        </is>
      </c>
      <c r="H3694" s="0" t="inlineStr">
        <is>
          <t>L</t>
        </is>
      </c>
      <c r="I3694" s="0">
        <v>69.99</v>
      </c>
      <c r="J3694" s="0">
        <v>89</v>
      </c>
    </row>
    <row r="3695" spans="1:10" customHeight="0">
      <c r="A3695" s="0">
        <f>HYPERLINK("https://dl.dropboxusercontent.com/scl/fi/9e2oe4e9p4wsqdjhmyf4h/98666-af.jpg?rlkey=5j655tqfwvh4tuvmmhsdzgcm4&amp;dl=0","Click to download Image")</f>
      </c>
      <c r="B3695" s="0">
        <f>HYPERLINK("https://dl.dropboxusercontent.com/scl/fi/ebbnqmg5akw80w603r1an/size-chartladies-c.jpg?rlkey=zxirid1od8ryt7yukuj22lau1&amp;dl=0","Click to download SizeChart")</f>
      </c>
      <c r="C3695" s="0" t="inlineStr">
        <is>
          <t>Charolette Women's Jacket</t>
        </is>
      </c>
      <c r="D3695" s="1">
        <v>98666</v>
      </c>
      <c r="E3695" s="0" t="inlineStr">
        <is>
          <t>CHARLOTTE:98666D-XL</t>
        </is>
      </c>
      <c r="G3695" s="0" t="inlineStr">
        <is>
          <t>WOMENS</t>
        </is>
      </c>
      <c r="H3695" s="0" t="inlineStr">
        <is>
          <t>XL</t>
        </is>
      </c>
      <c r="I3695" s="0">
        <v>69.99</v>
      </c>
      <c r="J3695" s="0">
        <v>97</v>
      </c>
    </row>
    <row r="3696" spans="1:10" customHeight="0">
      <c r="A3696" s="0">
        <f>HYPERLINK("https://dl.dropboxusercontent.com/scl/fi/9e2oe4e9p4wsqdjhmyf4h/98666-af.jpg?rlkey=5j655tqfwvh4tuvmmhsdzgcm4&amp;dl=0","Click to download Image")</f>
      </c>
      <c r="B3696" s="0">
        <f>HYPERLINK("https://dl.dropboxusercontent.com/scl/fi/ebbnqmg5akw80w603r1an/size-chartladies-c.jpg?rlkey=zxirid1od8ryt7yukuj22lau1&amp;dl=0","Click to download SizeChart")</f>
      </c>
      <c r="C3696" s="0" t="inlineStr">
        <is>
          <t>Charolette Women's Jacket</t>
        </is>
      </c>
      <c r="D3696" s="1">
        <v>98666</v>
      </c>
      <c r="E3696" s="0" t="inlineStr">
        <is>
          <t>CHARLOTTE:98666E-2XL</t>
        </is>
      </c>
      <c r="G3696" s="0" t="inlineStr">
        <is>
          <t>WOMENS</t>
        </is>
      </c>
      <c r="H3696" s="0" t="inlineStr">
        <is>
          <t>2XL</t>
        </is>
      </c>
      <c r="I3696" s="0">
        <v>71.99</v>
      </c>
      <c r="J3696" s="0">
        <v>74</v>
      </c>
    </row>
    <row r="3697" spans="1:10" customHeight="0">
      <c r="A3697" s="0">
        <f>HYPERLINK("https://dl.dropboxusercontent.com/scl/fi/9e2oe4e9p4wsqdjhmyf4h/98666-af.jpg?rlkey=5j655tqfwvh4tuvmmhsdzgcm4&amp;dl=0","Click to download Image")</f>
      </c>
      <c r="B3697" s="0">
        <f>HYPERLINK("https://dl.dropboxusercontent.com/scl/fi/ebbnqmg5akw80w603r1an/size-chartladies-c.jpg?rlkey=zxirid1od8ryt7yukuj22lau1&amp;dl=0","Click to download SizeChart")</f>
      </c>
      <c r="C3697" s="0" t="inlineStr">
        <is>
          <t>Charolette Women's Jacket</t>
        </is>
      </c>
      <c r="D3697" s="1">
        <v>98666</v>
      </c>
      <c r="E3697" s="0" t="inlineStr">
        <is>
          <t>CHARLOTTE:98666F-3XL</t>
        </is>
      </c>
      <c r="G3697" s="0" t="inlineStr">
        <is>
          <t>WOMENS</t>
        </is>
      </c>
      <c r="H3697" s="0" t="inlineStr">
        <is>
          <t>3XL</t>
        </is>
      </c>
      <c r="I3697" s="0">
        <v>71.99</v>
      </c>
      <c r="J3697" s="0">
        <v>16</v>
      </c>
    </row>
    <row r="3698" spans="1:10" customHeight="0">
      <c r="A3698" s="0">
        <f>HYPERLINK("https://dl.dropboxusercontent.com/scl/fi/1gbhpk3zl0l3i9bvza5qk/95477af.jpg?rlkey=juwqyw1j74osdgbrx6fj6vo0p&amp;dl=0","Click to download Image")</f>
      </c>
      <c r="B3698" s="0">
        <f>HYPERLINK("https://dl.dropboxusercontent.com/scl/fi/d1pju2a47quz99d1lhucm/size-chartladies-c.jpg?rlkey=ub6xgti6ydtyk1hrcegc1jlu1&amp;dl=0","Click to download SizeChart")</f>
      </c>
      <c r="C3698" s="0" t="inlineStr">
        <is>
          <t>Chrome Women's Quarter Zip</t>
        </is>
      </c>
      <c r="D3698" s="1">
        <v>95477</v>
      </c>
      <c r="E3698" s="0" t="inlineStr">
        <is>
          <t>CHROME W:95477A-S</t>
        </is>
      </c>
      <c r="G3698" s="0" t="inlineStr">
        <is>
          <t>WOMENS</t>
        </is>
      </c>
      <c r="H3698" s="0" t="inlineStr">
        <is>
          <t>S</t>
        </is>
      </c>
      <c r="I3698" s="0">
        <v>29.99</v>
      </c>
      <c r="J3698" s="0">
        <v>17</v>
      </c>
    </row>
    <row r="3699" spans="1:10" customHeight="0">
      <c r="A3699" s="0">
        <f>HYPERLINK("https://dl.dropboxusercontent.com/scl/fi/1gbhpk3zl0l3i9bvza5qk/95477af.jpg?rlkey=juwqyw1j74osdgbrx6fj6vo0p&amp;dl=0","Click to download Image")</f>
      </c>
      <c r="B3699" s="0">
        <f>HYPERLINK("https://dl.dropboxusercontent.com/scl/fi/d1pju2a47quz99d1lhucm/size-chartladies-c.jpg?rlkey=ub6xgti6ydtyk1hrcegc1jlu1&amp;dl=0","Click to download SizeChart")</f>
      </c>
      <c r="C3699" s="0" t="inlineStr">
        <is>
          <t>Chrome Women's Quarter Zip</t>
        </is>
      </c>
      <c r="D3699" s="1">
        <v>95477</v>
      </c>
      <c r="E3699" s="0" t="inlineStr">
        <is>
          <t>CHROME W:95477B-M</t>
        </is>
      </c>
      <c r="G3699" s="0" t="inlineStr">
        <is>
          <t>WOMENS</t>
        </is>
      </c>
      <c r="H3699" s="0" t="inlineStr">
        <is>
          <t>M</t>
        </is>
      </c>
      <c r="I3699" s="0">
        <v>29.99</v>
      </c>
      <c r="J3699" s="0">
        <v>12</v>
      </c>
    </row>
    <row r="3700" spans="1:10" customHeight="0">
      <c r="A3700" s="0">
        <f>HYPERLINK("https://dl.dropboxusercontent.com/scl/fi/1gbhpk3zl0l3i9bvza5qk/95477af.jpg?rlkey=juwqyw1j74osdgbrx6fj6vo0p&amp;dl=0","Click to download Image")</f>
      </c>
      <c r="B3700" s="0">
        <f>HYPERLINK("https://dl.dropboxusercontent.com/scl/fi/d1pju2a47quz99d1lhucm/size-chartladies-c.jpg?rlkey=ub6xgti6ydtyk1hrcegc1jlu1&amp;dl=0","Click to download SizeChart")</f>
      </c>
      <c r="C3700" s="0" t="inlineStr">
        <is>
          <t>Chrome Women's Quarter Zip</t>
        </is>
      </c>
      <c r="D3700" s="1">
        <v>95477</v>
      </c>
      <c r="E3700" s="0" t="inlineStr">
        <is>
          <t>CHROME W:95477C-L</t>
        </is>
      </c>
      <c r="G3700" s="0" t="inlineStr">
        <is>
          <t>WOMENS</t>
        </is>
      </c>
      <c r="H3700" s="0" t="inlineStr">
        <is>
          <t>L</t>
        </is>
      </c>
      <c r="I3700" s="0">
        <v>29.99</v>
      </c>
      <c r="J3700" s="0">
        <v>14</v>
      </c>
    </row>
    <row r="3701" spans="1:10" customHeight="0">
      <c r="A3701" s="0">
        <f>HYPERLINK("https://dl.dropboxusercontent.com/scl/fi/1gbhpk3zl0l3i9bvza5qk/95477af.jpg?rlkey=juwqyw1j74osdgbrx6fj6vo0p&amp;dl=0","Click to download Image")</f>
      </c>
      <c r="B3701" s="0">
        <f>HYPERLINK("https://dl.dropboxusercontent.com/scl/fi/d1pju2a47quz99d1lhucm/size-chartladies-c.jpg?rlkey=ub6xgti6ydtyk1hrcegc1jlu1&amp;dl=0","Click to download SizeChart")</f>
      </c>
      <c r="C3701" s="0" t="inlineStr">
        <is>
          <t>Chrome Women's Quarter Zip</t>
        </is>
      </c>
      <c r="D3701" s="1">
        <v>95477</v>
      </c>
      <c r="E3701" s="0" t="inlineStr">
        <is>
          <t>CHROME W:95477D-XL</t>
        </is>
      </c>
      <c r="G3701" s="0" t="inlineStr">
        <is>
          <t>WOMENS</t>
        </is>
      </c>
      <c r="H3701" s="0" t="inlineStr">
        <is>
          <t>XL</t>
        </is>
      </c>
      <c r="I3701" s="0">
        <v>29.99</v>
      </c>
      <c r="J3701" s="0">
        <v>31</v>
      </c>
    </row>
    <row r="3702" spans="1:10" customHeight="0">
      <c r="A3702" s="0">
        <f>HYPERLINK("https://dl.dropboxusercontent.com/scl/fi/1gbhpk3zl0l3i9bvza5qk/95477af.jpg?rlkey=juwqyw1j74osdgbrx6fj6vo0p&amp;dl=0","Click to download Image")</f>
      </c>
      <c r="B3702" s="0">
        <f>HYPERLINK("https://dl.dropboxusercontent.com/scl/fi/d1pju2a47quz99d1lhucm/size-chartladies-c.jpg?rlkey=ub6xgti6ydtyk1hrcegc1jlu1&amp;dl=0","Click to download SizeChart")</f>
      </c>
      <c r="C3702" s="0" t="inlineStr">
        <is>
          <t>Chrome Women's Quarter Zip</t>
        </is>
      </c>
      <c r="D3702" s="1">
        <v>95477</v>
      </c>
      <c r="E3702" s="0" t="inlineStr">
        <is>
          <t>CHROME W:95477E-2X</t>
        </is>
      </c>
      <c r="G3702" s="0" t="inlineStr">
        <is>
          <t>WOMENS</t>
        </is>
      </c>
      <c r="H3702" s="0" t="inlineStr">
        <is>
          <t>2XL</t>
        </is>
      </c>
      <c r="I3702" s="0">
        <v>31.99</v>
      </c>
      <c r="J3702" s="0">
        <v>0</v>
      </c>
    </row>
    <row r="3703" spans="1:10" customHeight="0">
      <c r="A3703" s="0">
        <f>HYPERLINK("https://dl.dropboxusercontent.com/scl/fi/1gbhpk3zl0l3i9bvza5qk/95477af.jpg?rlkey=juwqyw1j74osdgbrx6fj6vo0p&amp;dl=0","Click to download Image")</f>
      </c>
      <c r="B3703" s="0">
        <f>HYPERLINK("https://dl.dropboxusercontent.com/scl/fi/d1pju2a47quz99d1lhucm/size-chartladies-c.jpg?rlkey=ub6xgti6ydtyk1hrcegc1jlu1&amp;dl=0","Click to download SizeChart")</f>
      </c>
      <c r="C3703" s="0" t="inlineStr">
        <is>
          <t>Chrome Women's Quarter Zip</t>
        </is>
      </c>
      <c r="D3703" s="1">
        <v>95477</v>
      </c>
      <c r="E3703" s="0" t="inlineStr">
        <is>
          <t>CHROME W:95477F-3X</t>
        </is>
      </c>
      <c r="G3703" s="0" t="inlineStr">
        <is>
          <t>WOMENS</t>
        </is>
      </c>
      <c r="H3703" s="0" t="inlineStr">
        <is>
          <t>3XL</t>
        </is>
      </c>
      <c r="I3703" s="0">
        <v>31.99</v>
      </c>
      <c r="J3703" s="0">
        <v>0</v>
      </c>
    </row>
    <row r="3704" spans="1:10" customHeight="0">
      <c r="A3704" s="0">
        <f>HYPERLINK("https://dl.dropboxusercontent.com/scl/fi/2lwn6du9pzs3xy3zny1l1/90723af.jpg?rlkey=53zaoh9ugrwdywcdbypoid70i&amp;dl=0","Click to download Image")</f>
      </c>
      <c r="B3704" s="0">
        <f>HYPERLINK("https://dl.dropboxusercontent.com/scl/fi/67kzc7izzl65a13d7c4uv/mens-a.jpg?rlkey=62wyf0vnt7ylj2xzryw2o0via&amp;dl=0","Click to download SizeChart")</f>
      </c>
      <c r="C3704" s="0" t="inlineStr">
        <is>
          <t>Chrome Men's Quarter Zip</t>
        </is>
      </c>
      <c r="D3704" s="1">
        <v>90723</v>
      </c>
      <c r="E3704" s="0" t="inlineStr">
        <is>
          <t>CHROME:90723A-S</t>
        </is>
      </c>
      <c r="G3704" s="0" t="inlineStr">
        <is>
          <t>MENS</t>
        </is>
      </c>
      <c r="H3704" s="0" t="inlineStr">
        <is>
          <t>S</t>
        </is>
      </c>
      <c r="I3704" s="0">
        <v>29.99</v>
      </c>
      <c r="J3704" s="0">
        <v>0</v>
      </c>
    </row>
    <row r="3705" spans="1:10" customHeight="0">
      <c r="A3705" s="0">
        <f>HYPERLINK("https://dl.dropboxusercontent.com/scl/fi/2lwn6du9pzs3xy3zny1l1/90723af.jpg?rlkey=53zaoh9ugrwdywcdbypoid70i&amp;dl=0","Click to download Image")</f>
      </c>
      <c r="B3705" s="0">
        <f>HYPERLINK("https://dl.dropboxusercontent.com/scl/fi/67kzc7izzl65a13d7c4uv/mens-a.jpg?rlkey=62wyf0vnt7ylj2xzryw2o0via&amp;dl=0","Click to download SizeChart")</f>
      </c>
      <c r="C3705" s="0" t="inlineStr">
        <is>
          <t>Chrome Men's Quarter Zip</t>
        </is>
      </c>
      <c r="D3705" s="1">
        <v>90723</v>
      </c>
      <c r="E3705" s="0" t="inlineStr">
        <is>
          <t>CHROME:90723B-M</t>
        </is>
      </c>
      <c r="G3705" s="0" t="inlineStr">
        <is>
          <t>MENS</t>
        </is>
      </c>
      <c r="H3705" s="0" t="inlineStr">
        <is>
          <t>M</t>
        </is>
      </c>
      <c r="I3705" s="0">
        <v>29.99</v>
      </c>
      <c r="J3705" s="0">
        <v>11</v>
      </c>
    </row>
    <row r="3706" spans="1:10" customHeight="0">
      <c r="A3706" s="0">
        <f>HYPERLINK("https://dl.dropboxusercontent.com/scl/fi/2lwn6du9pzs3xy3zny1l1/90723af.jpg?rlkey=53zaoh9ugrwdywcdbypoid70i&amp;dl=0","Click to download Image")</f>
      </c>
      <c r="B3706" s="0">
        <f>HYPERLINK("https://dl.dropboxusercontent.com/scl/fi/67kzc7izzl65a13d7c4uv/mens-a.jpg?rlkey=62wyf0vnt7ylj2xzryw2o0via&amp;dl=0","Click to download SizeChart")</f>
      </c>
      <c r="C3706" s="0" t="inlineStr">
        <is>
          <t>Chrome Men's Quarter Zip</t>
        </is>
      </c>
      <c r="D3706" s="1">
        <v>90723</v>
      </c>
      <c r="E3706" s="0" t="inlineStr">
        <is>
          <t>CHOME:90723C-L</t>
        </is>
      </c>
      <c r="G3706" s="0" t="inlineStr">
        <is>
          <t>MENS</t>
        </is>
      </c>
      <c r="H3706" s="0" t="inlineStr">
        <is>
          <t>L</t>
        </is>
      </c>
      <c r="I3706" s="0">
        <v>29.99</v>
      </c>
      <c r="J3706" s="0">
        <v>0</v>
      </c>
    </row>
    <row r="3707" spans="1:10" customHeight="0">
      <c r="A3707" s="0">
        <f>HYPERLINK("https://dl.dropboxusercontent.com/scl/fi/2lwn6du9pzs3xy3zny1l1/90723af.jpg?rlkey=53zaoh9ugrwdywcdbypoid70i&amp;dl=0","Click to download Image")</f>
      </c>
      <c r="B3707" s="0">
        <f>HYPERLINK("https://dl.dropboxusercontent.com/scl/fi/67kzc7izzl65a13d7c4uv/mens-a.jpg?rlkey=62wyf0vnt7ylj2xzryw2o0via&amp;dl=0","Click to download SizeChart")</f>
      </c>
      <c r="C3707" s="0" t="inlineStr">
        <is>
          <t>Chrome Men's Quarter Zip</t>
        </is>
      </c>
      <c r="D3707" s="1">
        <v>90723</v>
      </c>
      <c r="E3707" s="0" t="inlineStr">
        <is>
          <t>CHROME:90723D-XL</t>
        </is>
      </c>
      <c r="G3707" s="0" t="inlineStr">
        <is>
          <t>MENS</t>
        </is>
      </c>
      <c r="H3707" s="0" t="inlineStr">
        <is>
          <t>XL</t>
        </is>
      </c>
      <c r="I3707" s="0">
        <v>29.99</v>
      </c>
      <c r="J3707" s="0">
        <v>0</v>
      </c>
    </row>
    <row r="3708" spans="1:10" customHeight="0">
      <c r="A3708" s="0">
        <f>HYPERLINK("https://dl.dropboxusercontent.com/scl/fi/2lwn6du9pzs3xy3zny1l1/90723af.jpg?rlkey=53zaoh9ugrwdywcdbypoid70i&amp;dl=0","Click to download Image")</f>
      </c>
      <c r="B3708" s="0">
        <f>HYPERLINK("https://dl.dropboxusercontent.com/scl/fi/67kzc7izzl65a13d7c4uv/mens-a.jpg?rlkey=62wyf0vnt7ylj2xzryw2o0via&amp;dl=0","Click to download SizeChart")</f>
      </c>
      <c r="C3708" s="0" t="inlineStr">
        <is>
          <t>Chrome Men's Quarter Zip</t>
        </is>
      </c>
      <c r="D3708" s="1">
        <v>90723</v>
      </c>
      <c r="E3708" s="0" t="inlineStr">
        <is>
          <t>CHROME:90723E-2XL</t>
        </is>
      </c>
      <c r="G3708" s="0" t="inlineStr">
        <is>
          <t>MENS</t>
        </is>
      </c>
      <c r="H3708" s="0" t="inlineStr">
        <is>
          <t>2XL</t>
        </is>
      </c>
      <c r="I3708" s="0">
        <v>31.99</v>
      </c>
      <c r="J3708" s="0">
        <v>0</v>
      </c>
    </row>
    <row r="3709" spans="1:10" customHeight="0">
      <c r="A3709" s="0">
        <f>HYPERLINK("https://dl.dropboxusercontent.com/scl/fi/vqw0euic3dxb9uova9n6w/ns.jpg?rlkey=9axlzpn8lh0thh70z3v16ymmo&amp;dl=0","Click to download Image")</f>
      </c>
      <c r="C3709" s="0" t="inlineStr">
        <is>
          <t>Licensed Adult Neck Sleeve</t>
        </is>
      </c>
      <c r="D3709" s="1">
        <v>118884</v>
      </c>
      <c r="E3709" s="0" t="inlineStr">
        <is>
          <t>IOWA NECKSLEEVE:118884OSFM</t>
        </is>
      </c>
      <c r="F3709" s="2">
        <v>800118884345</v>
      </c>
      <c r="H3709" s="0" t="inlineStr">
        <is>
          <t>OSFM</t>
        </is>
      </c>
      <c r="I3709" s="0">
        <v>19.99</v>
      </c>
      <c r="J3709" s="0">
        <v>678</v>
      </c>
    </row>
    <row r="3710" spans="1:10" customHeight="0">
      <c r="A3710" s="0">
        <f>HYPERLINK("https://dl.dropboxusercontent.com/scl/fi/kxzukpw73syp1gqyl601u/licensed-ns-a-03.jpg?rlkey=990rts6eq8xmpo29aishx5tkz&amp;dl=0","Click to download Image")</f>
      </c>
      <c r="C3710" s="0" t="inlineStr">
        <is>
          <t>Licensed Adult Neck Sleeve</t>
        </is>
      </c>
      <c r="D3710" s="1">
        <v>118886</v>
      </c>
      <c r="E3710" s="0" t="inlineStr">
        <is>
          <t>IOWA NECKSLEEVE:118886OSFM</t>
        </is>
      </c>
      <c r="F3710" s="2">
        <v>800118884345</v>
      </c>
      <c r="H3710" s="0" t="inlineStr">
        <is>
          <t>OSFM</t>
        </is>
      </c>
      <c r="I3710" s="0">
        <v>19.99</v>
      </c>
      <c r="J3710" s="0">
        <v>629</v>
      </c>
    </row>
    <row r="3711" spans="1:10" customHeight="0">
      <c r="A3711" s="0">
        <f>HYPERLINK("https://dl.dropboxusercontent.com/scl/fi/1rdtgtt7efy146kmxx5lf/licensed-ns-a-04.jpg?rlkey=4417fcfqn4t8usr6hozc2sfby&amp;dl=0","Click to download Image")</f>
      </c>
      <c r="C3711" s="0" t="inlineStr">
        <is>
          <t>Licensed Adult Neck Sleeve</t>
        </is>
      </c>
      <c r="D3711" s="1">
        <v>118869</v>
      </c>
      <c r="E3711" s="0" t="inlineStr">
        <is>
          <t>IOWA NECKSLEEVE:118869OSFM</t>
        </is>
      </c>
      <c r="F3711" s="2">
        <v>800118884345</v>
      </c>
      <c r="H3711" s="0" t="inlineStr">
        <is>
          <t>OSFM</t>
        </is>
      </c>
      <c r="I3711" s="0">
        <v>19.99</v>
      </c>
      <c r="J3711" s="0">
        <v>690</v>
      </c>
    </row>
    <row r="3712" spans="1:10" customHeight="0">
      <c r="A3712" s="0">
        <f>HYPERLINK("https://dl.dropboxusercontent.com/scl/fi/i52m60zoapue6uit1ypg9/dsc4879.jpg?rlkey=n71yzyhyqrwjjz6mrp7n9yw7o&amp;dl=0","Click to download Image")</f>
      </c>
      <c r="C3712" s="0" t="inlineStr">
        <is>
          <t>Licensed Adult Neck Sleeve</t>
        </is>
      </c>
      <c r="D3712" s="1">
        <v>118868</v>
      </c>
      <c r="E3712" s="0" t="inlineStr">
        <is>
          <t>IOWA NECKSLEEVE:118868OSFM</t>
        </is>
      </c>
      <c r="F3712" s="2">
        <v>800118884345</v>
      </c>
      <c r="H3712" s="0" t="inlineStr">
        <is>
          <t>OSFM</t>
        </is>
      </c>
      <c r="I3712" s="0">
        <v>19.99</v>
      </c>
      <c r="J3712" s="0">
        <v>192</v>
      </c>
    </row>
    <row r="3713" spans="1:10" customHeight="0">
      <c r="A3713" s="0">
        <f>HYPERLINK("https://dl.dropboxusercontent.com/scl/fi/amu5b3dxskryaycny0yeq/dsc4853edit.jpg?rlkey=8c4wpwybxvred6jqdjq9d69vy&amp;dl=0","Click to download Image")</f>
      </c>
      <c r="C3713" s="0" t="inlineStr">
        <is>
          <t>Licensed Adult Neck Sleeve</t>
        </is>
      </c>
      <c r="D3713" s="1">
        <v>118883</v>
      </c>
      <c r="E3713" s="0" t="inlineStr">
        <is>
          <t>IOWA NECKSLEEVE:118883OSFM</t>
        </is>
      </c>
      <c r="F3713" s="2">
        <v>800118884345</v>
      </c>
      <c r="H3713" s="0" t="inlineStr">
        <is>
          <t>OSFM</t>
        </is>
      </c>
      <c r="I3713" s="0">
        <v>19.99</v>
      </c>
      <c r="J3713" s="0">
        <v>904</v>
      </c>
    </row>
    <row r="3714" spans="1:10" customHeight="0">
      <c r="A3714" s="0">
        <f>HYPERLINK("https://dl.dropboxusercontent.com/scl/fi/euuj0t5357kg1p41r3cwi/cookt.jpg?rlkey=ra2mm02s9vzcmm9omryz2z7w5&amp;dl=0","Click to download Image")</f>
      </c>
      <c r="B3714" s="0">
        <f>HYPERLINK("https://dl.dropboxusercontent.com/scl/fi/flrn058qwuqzgox9iycag/mens-d-2.jpg?rlkey=6goh8akqkrjkcavnv40ac4h70&amp;dl=0","Click to download SizeChart")</f>
      </c>
      <c r="C3714" s="0" t="inlineStr">
        <is>
          <t>Cook Men's Full Zip Jacket</t>
        </is>
      </c>
      <c r="D3714" s="1">
        <v>95594</v>
      </c>
      <c r="E3714" s="0" t="inlineStr">
        <is>
          <t>COOK:95594A-S</t>
        </is>
      </c>
      <c r="G3714" s="0" t="inlineStr">
        <is>
          <t>MENS</t>
        </is>
      </c>
      <c r="H3714" s="0" t="inlineStr">
        <is>
          <t>S</t>
        </is>
      </c>
      <c r="I3714" s="0">
        <v>54.99</v>
      </c>
      <c r="J3714" s="0">
        <v>5</v>
      </c>
    </row>
    <row r="3715" spans="1:10" customHeight="0">
      <c r="A3715" s="0">
        <f>HYPERLINK("https://dl.dropboxusercontent.com/scl/fi/euuj0t5357kg1p41r3cwi/cookt.jpg?rlkey=ra2mm02s9vzcmm9omryz2z7w5&amp;dl=0","Click to download Image")</f>
      </c>
      <c r="B3715" s="0">
        <f>HYPERLINK("https://dl.dropboxusercontent.com/scl/fi/flrn058qwuqzgox9iycag/mens-d-2.jpg?rlkey=6goh8akqkrjkcavnv40ac4h70&amp;dl=0","Click to download SizeChart")</f>
      </c>
      <c r="C3715" s="0" t="inlineStr">
        <is>
          <t>Cook Men's Full Zip Jacket</t>
        </is>
      </c>
      <c r="D3715" s="1">
        <v>95594</v>
      </c>
      <c r="E3715" s="0" t="inlineStr">
        <is>
          <t>COOK:95594B-M</t>
        </is>
      </c>
      <c r="G3715" s="0" t="inlineStr">
        <is>
          <t>MENS</t>
        </is>
      </c>
      <c r="H3715" s="0" t="inlineStr">
        <is>
          <t>M</t>
        </is>
      </c>
      <c r="I3715" s="0">
        <v>54.99</v>
      </c>
      <c r="J3715" s="0">
        <v>27</v>
      </c>
    </row>
    <row r="3716" spans="1:10" customHeight="0">
      <c r="A3716" s="0">
        <f>HYPERLINK("https://dl.dropboxusercontent.com/scl/fi/euuj0t5357kg1p41r3cwi/cookt.jpg?rlkey=ra2mm02s9vzcmm9omryz2z7w5&amp;dl=0","Click to download Image")</f>
      </c>
      <c r="B3716" s="0">
        <f>HYPERLINK("https://dl.dropboxusercontent.com/scl/fi/flrn058qwuqzgox9iycag/mens-d-2.jpg?rlkey=6goh8akqkrjkcavnv40ac4h70&amp;dl=0","Click to download SizeChart")</f>
      </c>
      <c r="C3716" s="0" t="inlineStr">
        <is>
          <t>Cook Men's Full Zip Jacket</t>
        </is>
      </c>
      <c r="D3716" s="1">
        <v>95594</v>
      </c>
      <c r="E3716" s="0" t="inlineStr">
        <is>
          <t>COOK:95594C-L</t>
        </is>
      </c>
      <c r="G3716" s="0" t="inlineStr">
        <is>
          <t>MENS</t>
        </is>
      </c>
      <c r="H3716" s="0" t="inlineStr">
        <is>
          <t>L</t>
        </is>
      </c>
      <c r="I3716" s="0">
        <v>54.99</v>
      </c>
      <c r="J3716" s="0">
        <v>50</v>
      </c>
    </row>
    <row r="3717" spans="1:10" customHeight="0">
      <c r="A3717" s="0">
        <f>HYPERLINK("https://dl.dropboxusercontent.com/scl/fi/euuj0t5357kg1p41r3cwi/cookt.jpg?rlkey=ra2mm02s9vzcmm9omryz2z7w5&amp;dl=0","Click to download Image")</f>
      </c>
      <c r="B3717" s="0">
        <f>HYPERLINK("https://dl.dropboxusercontent.com/scl/fi/flrn058qwuqzgox9iycag/mens-d-2.jpg?rlkey=6goh8akqkrjkcavnv40ac4h70&amp;dl=0","Click to download SizeChart")</f>
      </c>
      <c r="C3717" s="0" t="inlineStr">
        <is>
          <t>Cook Men's Full Zip Jacket</t>
        </is>
      </c>
      <c r="D3717" s="1">
        <v>95594</v>
      </c>
      <c r="E3717" s="0" t="inlineStr">
        <is>
          <t>COOK:95594D-XL</t>
        </is>
      </c>
      <c r="G3717" s="0" t="inlineStr">
        <is>
          <t>MENS</t>
        </is>
      </c>
      <c r="H3717" s="0" t="inlineStr">
        <is>
          <t>XL</t>
        </is>
      </c>
      <c r="I3717" s="0">
        <v>54.99</v>
      </c>
      <c r="J3717" s="0">
        <v>48</v>
      </c>
    </row>
    <row r="3718" spans="1:10" customHeight="0">
      <c r="A3718" s="0">
        <f>HYPERLINK("https://dl.dropboxusercontent.com/scl/fi/euuj0t5357kg1p41r3cwi/cookt.jpg?rlkey=ra2mm02s9vzcmm9omryz2z7w5&amp;dl=0","Click to download Image")</f>
      </c>
      <c r="B3718" s="0">
        <f>HYPERLINK("https://dl.dropboxusercontent.com/scl/fi/flrn058qwuqzgox9iycag/mens-d-2.jpg?rlkey=6goh8akqkrjkcavnv40ac4h70&amp;dl=0","Click to download SizeChart")</f>
      </c>
      <c r="C3718" s="0" t="inlineStr">
        <is>
          <t>Cook Men's Full Zip Jacket</t>
        </is>
      </c>
      <c r="D3718" s="1">
        <v>95594</v>
      </c>
      <c r="E3718" s="0" t="inlineStr">
        <is>
          <t>COOK:95594E-2X</t>
        </is>
      </c>
      <c r="G3718" s="0" t="inlineStr">
        <is>
          <t>MENS</t>
        </is>
      </c>
      <c r="H3718" s="0" t="inlineStr">
        <is>
          <t>2XL</t>
        </is>
      </c>
      <c r="I3718" s="0">
        <v>56.99</v>
      </c>
      <c r="J3718" s="0">
        <v>31</v>
      </c>
    </row>
    <row r="3719" spans="1:10" customHeight="0">
      <c r="A3719" s="0">
        <f>HYPERLINK("https://dl.dropboxusercontent.com/scl/fi/euuj0t5357kg1p41r3cwi/cookt.jpg?rlkey=ra2mm02s9vzcmm9omryz2z7w5&amp;dl=0","Click to download Image")</f>
      </c>
      <c r="B3719" s="0">
        <f>HYPERLINK("https://dl.dropboxusercontent.com/scl/fi/flrn058qwuqzgox9iycag/mens-d-2.jpg?rlkey=6goh8akqkrjkcavnv40ac4h70&amp;dl=0","Click to download SizeChart")</f>
      </c>
      <c r="C3719" s="0" t="inlineStr">
        <is>
          <t>Cook Men's Full Zip Jacket</t>
        </is>
      </c>
      <c r="D3719" s="1">
        <v>95594</v>
      </c>
      <c r="E3719" s="0" t="inlineStr">
        <is>
          <t>COOK:95594F-3X</t>
        </is>
      </c>
      <c r="G3719" s="0" t="inlineStr">
        <is>
          <t>MENS</t>
        </is>
      </c>
      <c r="H3719" s="0" t="inlineStr">
        <is>
          <t>3XL</t>
        </is>
      </c>
      <c r="I3719" s="0">
        <v>56.99</v>
      </c>
      <c r="J3719" s="0">
        <v>8</v>
      </c>
    </row>
    <row r="3720" spans="1:10" customHeight="0">
      <c r="A3720" s="0">
        <f>HYPERLINK("https://dl.dropboxusercontent.com/scl/fi/p1oexnmx0u6hoccak7wyo/dane.jpg?rlkey=ibe2koukaiitput0n39fntajk&amp;dl=0","Click to download Image")</f>
      </c>
      <c r="B3720" s="0">
        <f>HYPERLINK("https://dl.dropboxusercontent.com/scl/fi/q6atv4yka1zliiyll29jb/mens-d-3.jpg?rlkey=kveyp6gr4wd7i0h91rsfnvmcs&amp;dl=0","Click to download SizeChart")</f>
      </c>
      <c r="C3720" s="0" t="inlineStr">
        <is>
          <t>Dane Men's 1/4 Zip</t>
        </is>
      </c>
      <c r="D3720" s="1">
        <v>95403</v>
      </c>
      <c r="E3720" s="0" t="inlineStr">
        <is>
          <t>DANE:95403A-S</t>
        </is>
      </c>
      <c r="G3720" s="0" t="inlineStr">
        <is>
          <t>MENS</t>
        </is>
      </c>
      <c r="H3720" s="0" t="inlineStr">
        <is>
          <t>S</t>
        </is>
      </c>
      <c r="I3720" s="0">
        <v>48.99</v>
      </c>
      <c r="J3720" s="0">
        <v>52</v>
      </c>
    </row>
    <row r="3721" spans="1:10" customHeight="0">
      <c r="A3721" s="0">
        <f>HYPERLINK("https://dl.dropboxusercontent.com/scl/fi/p1oexnmx0u6hoccak7wyo/dane.jpg?rlkey=ibe2koukaiitput0n39fntajk&amp;dl=0","Click to download Image")</f>
      </c>
      <c r="B3721" s="0">
        <f>HYPERLINK("https://dl.dropboxusercontent.com/scl/fi/q6atv4yka1zliiyll29jb/mens-d-3.jpg?rlkey=kveyp6gr4wd7i0h91rsfnvmcs&amp;dl=0","Click to download SizeChart")</f>
      </c>
      <c r="C3721" s="0" t="inlineStr">
        <is>
          <t>Dane Men's 1/4 Zip</t>
        </is>
      </c>
      <c r="D3721" s="1">
        <v>95403</v>
      </c>
      <c r="E3721" s="0" t="inlineStr">
        <is>
          <t>DANE:95403B-M</t>
        </is>
      </c>
      <c r="G3721" s="0" t="inlineStr">
        <is>
          <t>MENS</t>
        </is>
      </c>
      <c r="H3721" s="0" t="inlineStr">
        <is>
          <t>M</t>
        </is>
      </c>
      <c r="I3721" s="0">
        <v>48.99</v>
      </c>
      <c r="J3721" s="0">
        <v>97</v>
      </c>
    </row>
    <row r="3722" spans="1:10" customHeight="0">
      <c r="A3722" s="0">
        <f>HYPERLINK("https://dl.dropboxusercontent.com/scl/fi/p1oexnmx0u6hoccak7wyo/dane.jpg?rlkey=ibe2koukaiitput0n39fntajk&amp;dl=0","Click to download Image")</f>
      </c>
      <c r="B3722" s="0">
        <f>HYPERLINK("https://dl.dropboxusercontent.com/scl/fi/q6atv4yka1zliiyll29jb/mens-d-3.jpg?rlkey=kveyp6gr4wd7i0h91rsfnvmcs&amp;dl=0","Click to download SizeChart")</f>
      </c>
      <c r="C3722" s="0" t="inlineStr">
        <is>
          <t>Dane Men's 1/4 Zip</t>
        </is>
      </c>
      <c r="D3722" s="1">
        <v>95403</v>
      </c>
      <c r="E3722" s="0" t="inlineStr">
        <is>
          <t>DANE:95403C-L</t>
        </is>
      </c>
      <c r="G3722" s="0" t="inlineStr">
        <is>
          <t>MENS</t>
        </is>
      </c>
      <c r="H3722" s="0" t="inlineStr">
        <is>
          <t>L</t>
        </is>
      </c>
      <c r="I3722" s="0">
        <v>48.99</v>
      </c>
      <c r="J3722" s="0">
        <v>83</v>
      </c>
    </row>
    <row r="3723" spans="1:10" customHeight="0">
      <c r="A3723" s="0">
        <f>HYPERLINK("https://dl.dropboxusercontent.com/scl/fi/p1oexnmx0u6hoccak7wyo/dane.jpg?rlkey=ibe2koukaiitput0n39fntajk&amp;dl=0","Click to download Image")</f>
      </c>
      <c r="B3723" s="0">
        <f>HYPERLINK("https://dl.dropboxusercontent.com/scl/fi/q6atv4yka1zliiyll29jb/mens-d-3.jpg?rlkey=kveyp6gr4wd7i0h91rsfnvmcs&amp;dl=0","Click to download SizeChart")</f>
      </c>
      <c r="C3723" s="0" t="inlineStr">
        <is>
          <t>Dane Men's 1/4 Zip</t>
        </is>
      </c>
      <c r="D3723" s="1">
        <v>95403</v>
      </c>
      <c r="E3723" s="0" t="inlineStr">
        <is>
          <t>DANE:95403D-XL</t>
        </is>
      </c>
      <c r="G3723" s="0" t="inlineStr">
        <is>
          <t>MENS</t>
        </is>
      </c>
      <c r="H3723" s="0" t="inlineStr">
        <is>
          <t>XL</t>
        </is>
      </c>
      <c r="I3723" s="0">
        <v>48.99</v>
      </c>
      <c r="J3723" s="0">
        <v>94</v>
      </c>
    </row>
    <row r="3724" spans="1:10" customHeight="0">
      <c r="A3724" s="0">
        <f>HYPERLINK("https://dl.dropboxusercontent.com/scl/fi/p1oexnmx0u6hoccak7wyo/dane.jpg?rlkey=ibe2koukaiitput0n39fntajk&amp;dl=0","Click to download Image")</f>
      </c>
      <c r="B3724" s="0">
        <f>HYPERLINK("https://dl.dropboxusercontent.com/scl/fi/q6atv4yka1zliiyll29jb/mens-d-3.jpg?rlkey=kveyp6gr4wd7i0h91rsfnvmcs&amp;dl=0","Click to download SizeChart")</f>
      </c>
      <c r="C3724" s="0" t="inlineStr">
        <is>
          <t>Dane Men's 1/4 Zip</t>
        </is>
      </c>
      <c r="D3724" s="1">
        <v>95403</v>
      </c>
      <c r="E3724" s="0" t="inlineStr">
        <is>
          <t>DANE:95403E-2X</t>
        </is>
      </c>
      <c r="G3724" s="0" t="inlineStr">
        <is>
          <t>MENS</t>
        </is>
      </c>
      <c r="H3724" s="0" t="inlineStr">
        <is>
          <t>2XL</t>
        </is>
      </c>
      <c r="I3724" s="0">
        <v>50.99</v>
      </c>
      <c r="J3724" s="0">
        <v>49</v>
      </c>
    </row>
    <row r="3725" spans="1:10" customHeight="0">
      <c r="A3725" s="0">
        <f>HYPERLINK("https://dl.dropboxusercontent.com/scl/fi/p1oexnmx0u6hoccak7wyo/dane.jpg?rlkey=ibe2koukaiitput0n39fntajk&amp;dl=0","Click to download Image")</f>
      </c>
      <c r="B3725" s="0">
        <f>HYPERLINK("https://dl.dropboxusercontent.com/scl/fi/q6atv4yka1zliiyll29jb/mens-d-3.jpg?rlkey=kveyp6gr4wd7i0h91rsfnvmcs&amp;dl=0","Click to download SizeChart")</f>
      </c>
      <c r="C3725" s="0" t="inlineStr">
        <is>
          <t>Dane Men's 1/4 Zip</t>
        </is>
      </c>
      <c r="D3725" s="1">
        <v>95403</v>
      </c>
      <c r="E3725" s="0" t="inlineStr">
        <is>
          <t>DANE:95403F-3X</t>
        </is>
      </c>
      <c r="G3725" s="0" t="inlineStr">
        <is>
          <t>MENS</t>
        </is>
      </c>
      <c r="H3725" s="0" t="inlineStr">
        <is>
          <t>3XL</t>
        </is>
      </c>
      <c r="I3725" s="0">
        <v>50.99</v>
      </c>
      <c r="J3725" s="0">
        <v>42</v>
      </c>
    </row>
    <row r="3726" spans="1:10" customHeight="0">
      <c r="A3726" s="0">
        <f>HYPERLINK("https://dl.dropboxusercontent.com/scl/fi/5ysc89eaeuhn5phkez7sx/dave.jpg?rlkey=8asfxhd2hq2zro64083xaybrc&amp;dl=0","Click to download Image")</f>
      </c>
      <c r="C3726" s="0" t="inlineStr">
        <is>
          <t>David Performance Men's Long Sleeve</t>
        </is>
      </c>
      <c r="D3726" s="1">
        <v>96571</v>
      </c>
      <c r="E3726" s="0" t="inlineStr">
        <is>
          <t>DAVID:96571A-S</t>
        </is>
      </c>
      <c r="G3726" s="0" t="inlineStr">
        <is>
          <t>MENS</t>
        </is>
      </c>
      <c r="H3726" s="0" t="inlineStr">
        <is>
          <t>S</t>
        </is>
      </c>
      <c r="I3726" s="0">
        <v>37.99</v>
      </c>
      <c r="J3726" s="0">
        <v>47</v>
      </c>
    </row>
    <row r="3727" spans="1:10" customHeight="0">
      <c r="A3727" s="0">
        <f>HYPERLINK("https://dl.dropboxusercontent.com/scl/fi/5ysc89eaeuhn5phkez7sx/dave.jpg?rlkey=8asfxhd2hq2zro64083xaybrc&amp;dl=0","Click to download Image")</f>
      </c>
      <c r="C3727" s="0" t="inlineStr">
        <is>
          <t>David Performance Men's Long Sleeve</t>
        </is>
      </c>
      <c r="D3727" s="1">
        <v>96571</v>
      </c>
      <c r="E3727" s="0" t="inlineStr">
        <is>
          <t>DAVID:96571B-M</t>
        </is>
      </c>
      <c r="G3727" s="0" t="inlineStr">
        <is>
          <t>MENS</t>
        </is>
      </c>
      <c r="H3727" s="0" t="inlineStr">
        <is>
          <t>M</t>
        </is>
      </c>
      <c r="I3727" s="0">
        <v>37.99</v>
      </c>
      <c r="J3727" s="0">
        <v>46</v>
      </c>
    </row>
    <row r="3728" spans="1:10" customHeight="0">
      <c r="A3728" s="0">
        <f>HYPERLINK("https://dl.dropboxusercontent.com/scl/fi/5ysc89eaeuhn5phkez7sx/dave.jpg?rlkey=8asfxhd2hq2zro64083xaybrc&amp;dl=0","Click to download Image")</f>
      </c>
      <c r="C3728" s="0" t="inlineStr">
        <is>
          <t>David Performance Men's Long Sleeve</t>
        </is>
      </c>
      <c r="D3728" s="1">
        <v>96571</v>
      </c>
      <c r="E3728" s="0" t="inlineStr">
        <is>
          <t>DAVID:96571C-L</t>
        </is>
      </c>
      <c r="G3728" s="0" t="inlineStr">
        <is>
          <t>MENS</t>
        </is>
      </c>
      <c r="H3728" s="0" t="inlineStr">
        <is>
          <t>L</t>
        </is>
      </c>
      <c r="I3728" s="0">
        <v>37.99</v>
      </c>
      <c r="J3728" s="0">
        <v>10</v>
      </c>
    </row>
    <row r="3729" spans="1:10" customHeight="0">
      <c r="A3729" s="0">
        <f>HYPERLINK("https://dl.dropboxusercontent.com/scl/fi/5ysc89eaeuhn5phkez7sx/dave.jpg?rlkey=8asfxhd2hq2zro64083xaybrc&amp;dl=0","Click to download Image")</f>
      </c>
      <c r="C3729" s="0" t="inlineStr">
        <is>
          <t>David Performance Men's Long Sleeve</t>
        </is>
      </c>
      <c r="D3729" s="1">
        <v>96571</v>
      </c>
      <c r="E3729" s="0" t="inlineStr">
        <is>
          <t>DAVID:96571D-XL</t>
        </is>
      </c>
      <c r="G3729" s="0" t="inlineStr">
        <is>
          <t>MENS</t>
        </is>
      </c>
      <c r="H3729" s="0" t="inlineStr">
        <is>
          <t>XL</t>
        </is>
      </c>
      <c r="I3729" s="0">
        <v>37.99</v>
      </c>
      <c r="J3729" s="0">
        <v>16</v>
      </c>
    </row>
    <row r="3730" spans="1:10" customHeight="0">
      <c r="A3730" s="0">
        <f>HYPERLINK("https://dl.dropboxusercontent.com/scl/fi/5ysc89eaeuhn5phkez7sx/dave.jpg?rlkey=8asfxhd2hq2zro64083xaybrc&amp;dl=0","Click to download Image")</f>
      </c>
      <c r="C3730" s="0" t="inlineStr">
        <is>
          <t>David Performance Men's Long Sleeve</t>
        </is>
      </c>
      <c r="D3730" s="1">
        <v>96571</v>
      </c>
      <c r="E3730" s="0" t="inlineStr">
        <is>
          <t>DAVID:96571E-2XL</t>
        </is>
      </c>
      <c r="G3730" s="0" t="inlineStr">
        <is>
          <t>MENS</t>
        </is>
      </c>
      <c r="H3730" s="0" t="inlineStr">
        <is>
          <t>2XL</t>
        </is>
      </c>
      <c r="I3730" s="0">
        <v>39.99</v>
      </c>
      <c r="J3730" s="0">
        <v>19</v>
      </c>
    </row>
    <row r="3731" spans="1:10" customHeight="0">
      <c r="A3731" s="0">
        <f>HYPERLINK("https://dl.dropboxusercontent.com/scl/fi/5ysc89eaeuhn5phkez7sx/dave.jpg?rlkey=8asfxhd2hq2zro64083xaybrc&amp;dl=0","Click to download Image")</f>
      </c>
      <c r="C3731" s="0" t="inlineStr">
        <is>
          <t>David Performance Men's Long Sleeve</t>
        </is>
      </c>
      <c r="D3731" s="1">
        <v>96571</v>
      </c>
      <c r="E3731" s="0" t="inlineStr">
        <is>
          <t>DAVID:96571F-3XL</t>
        </is>
      </c>
      <c r="G3731" s="0" t="inlineStr">
        <is>
          <t>MENS</t>
        </is>
      </c>
      <c r="H3731" s="0" t="inlineStr">
        <is>
          <t>3XL</t>
        </is>
      </c>
      <c r="I3731" s="0">
        <v>39.99</v>
      </c>
      <c r="J3731" s="0">
        <v>16</v>
      </c>
    </row>
    <row r="3732" spans="1:10" customHeight="0">
      <c r="A3732" s="0">
        <f>HYPERLINK("https://dl.dropboxusercontent.com/scl/fi/0fbwtn9eigflshmqc34k0/95142af.jpg?rlkey=0dkzleu5c8ycmfa2vbeds6w6q&amp;dl=0","Click to download Image")</f>
      </c>
      <c r="B3732" s="0">
        <f>HYPERLINK("https://dl.dropboxusercontent.com/scl/fi/o5np6krnktzgm3vkzj82k/size-chartyouth-d.jpg?rlkey=tlp439wuhyqdcptpoavzcegoc&amp;dl=0","Click to download SizeChart")</f>
      </c>
      <c r="C3732" s="0" t="inlineStr">
        <is>
          <t>Dillard Youth Basketball Shorts</t>
        </is>
      </c>
      <c r="D3732" s="1">
        <v>95142</v>
      </c>
      <c r="E3732" s="0" t="inlineStr">
        <is>
          <t>DILLARD SHORTS:95142A- YS</t>
        </is>
      </c>
      <c r="G3732" s="0" t="inlineStr">
        <is>
          <t>YOUTH</t>
        </is>
      </c>
      <c r="H3732" s="0" t="inlineStr">
        <is>
          <t>YS</t>
        </is>
      </c>
      <c r="I3732" s="0">
        <v>22.99</v>
      </c>
      <c r="J3732" s="0">
        <v>55</v>
      </c>
    </row>
    <row r="3733" spans="1:10" customHeight="0">
      <c r="A3733" s="0">
        <f>HYPERLINK("https://dl.dropboxusercontent.com/scl/fi/0fbwtn9eigflshmqc34k0/95142af.jpg?rlkey=0dkzleu5c8ycmfa2vbeds6w6q&amp;dl=0","Click to download Image")</f>
      </c>
      <c r="B3733" s="0">
        <f>HYPERLINK("https://dl.dropboxusercontent.com/scl/fi/o5np6krnktzgm3vkzj82k/size-chartyouth-d.jpg?rlkey=tlp439wuhyqdcptpoavzcegoc&amp;dl=0","Click to download SizeChart")</f>
      </c>
      <c r="C3733" s="0" t="inlineStr">
        <is>
          <t>Dillard Youth Basketball Shorts</t>
        </is>
      </c>
      <c r="D3733" s="1">
        <v>95142</v>
      </c>
      <c r="E3733" s="0" t="inlineStr">
        <is>
          <t>DILLARD SHORTS:95142B- YM</t>
        </is>
      </c>
      <c r="G3733" s="0" t="inlineStr">
        <is>
          <t>YOUTH</t>
        </is>
      </c>
      <c r="H3733" s="0" t="inlineStr">
        <is>
          <t>YM</t>
        </is>
      </c>
      <c r="I3733" s="0">
        <v>22.99</v>
      </c>
      <c r="J3733" s="0">
        <v>64</v>
      </c>
    </row>
    <row r="3734" spans="1:10" customHeight="0">
      <c r="A3734" s="0">
        <f>HYPERLINK("https://dl.dropboxusercontent.com/scl/fi/0fbwtn9eigflshmqc34k0/95142af.jpg?rlkey=0dkzleu5c8ycmfa2vbeds6w6q&amp;dl=0","Click to download Image")</f>
      </c>
      <c r="B3734" s="0">
        <f>HYPERLINK("https://dl.dropboxusercontent.com/scl/fi/o5np6krnktzgm3vkzj82k/size-chartyouth-d.jpg?rlkey=tlp439wuhyqdcptpoavzcegoc&amp;dl=0","Click to download SizeChart")</f>
      </c>
      <c r="C3734" s="0" t="inlineStr">
        <is>
          <t>Dillard Youth Basketball Shorts</t>
        </is>
      </c>
      <c r="D3734" s="1">
        <v>95142</v>
      </c>
      <c r="E3734" s="0" t="inlineStr">
        <is>
          <t>DILLARD SHORTS:95142C- YL</t>
        </is>
      </c>
      <c r="G3734" s="0" t="inlineStr">
        <is>
          <t>YOUTH</t>
        </is>
      </c>
      <c r="H3734" s="0" t="inlineStr">
        <is>
          <t>YL</t>
        </is>
      </c>
      <c r="I3734" s="0">
        <v>22.99</v>
      </c>
      <c r="J3734" s="0">
        <v>73</v>
      </c>
    </row>
    <row r="3735" spans="1:10" customHeight="0">
      <c r="A3735" s="0">
        <f>HYPERLINK("https://dl.dropboxusercontent.com/scl/fi/0fbwtn9eigflshmqc34k0/95142af.jpg?rlkey=0dkzleu5c8ycmfa2vbeds6w6q&amp;dl=0","Click to download Image")</f>
      </c>
      <c r="B3735" s="0">
        <f>HYPERLINK("https://dl.dropboxusercontent.com/scl/fi/o5np6krnktzgm3vkzj82k/size-chartyouth-d.jpg?rlkey=tlp439wuhyqdcptpoavzcegoc&amp;dl=0","Click to download SizeChart")</f>
      </c>
      <c r="C3735" s="0" t="inlineStr">
        <is>
          <t>Dillard Youth Basketball Shorts</t>
        </is>
      </c>
      <c r="D3735" s="1">
        <v>95142</v>
      </c>
      <c r="E3735" s="0" t="inlineStr">
        <is>
          <t>DILLARD SHORTS:95142D- YXL</t>
        </is>
      </c>
      <c r="G3735" s="0" t="inlineStr">
        <is>
          <t>YOUTH</t>
        </is>
      </c>
      <c r="H3735" s="0" t="inlineStr">
        <is>
          <t>YXL</t>
        </is>
      </c>
      <c r="I3735" s="0">
        <v>22.99</v>
      </c>
      <c r="J3735" s="0">
        <v>70</v>
      </c>
    </row>
    <row r="3736" spans="1:10" customHeight="0">
      <c r="A3736" s="0">
        <f>HYPERLINK("https://dl.dropboxusercontent.com/scl/fi/2vyhhp1ltzpyn3ws3dg4j/95142af.jpg?rlkey=wnfwonz2d3uyf3nm4t5s0sov1&amp;dl=0","Click to download Image")</f>
      </c>
      <c r="C3736" s="0" t="inlineStr">
        <is>
          <t>Dillard Men's Basketball Shorts</t>
        </is>
      </c>
      <c r="D3736" s="1">
        <v>95308</v>
      </c>
      <c r="E3736" s="0" t="inlineStr">
        <is>
          <t>DILLARD SHORTS:95308A-AS</t>
        </is>
      </c>
      <c r="G3736" s="0" t="inlineStr">
        <is>
          <t>MENS</t>
        </is>
      </c>
      <c r="H3736" s="0" t="inlineStr">
        <is>
          <t>S</t>
        </is>
      </c>
      <c r="I3736" s="0">
        <v>22.99</v>
      </c>
      <c r="J3736" s="0">
        <v>61</v>
      </c>
    </row>
    <row r="3737" spans="1:10" customHeight="0">
      <c r="A3737" s="0">
        <f>HYPERLINK("https://dl.dropboxusercontent.com/scl/fi/2vyhhp1ltzpyn3ws3dg4j/95142af.jpg?rlkey=wnfwonz2d3uyf3nm4t5s0sov1&amp;dl=0","Click to download Image")</f>
      </c>
      <c r="C3737" s="0" t="inlineStr">
        <is>
          <t>Dillard Men's Basketball Shorts</t>
        </is>
      </c>
      <c r="D3737" s="1">
        <v>95308</v>
      </c>
      <c r="E3737" s="0" t="inlineStr">
        <is>
          <t>DILLARD SHORTS:95308B-AM</t>
        </is>
      </c>
      <c r="G3737" s="0" t="inlineStr">
        <is>
          <t>MENS</t>
        </is>
      </c>
      <c r="H3737" s="0" t="inlineStr">
        <is>
          <t>M</t>
        </is>
      </c>
      <c r="I3737" s="0">
        <v>22.99</v>
      </c>
      <c r="J3737" s="0">
        <v>43</v>
      </c>
    </row>
    <row r="3738" spans="1:10" customHeight="0">
      <c r="A3738" s="0">
        <f>HYPERLINK("https://dl.dropboxusercontent.com/scl/fi/hw7fqwroalv60zgms91jf/95307af.jpg?rlkey=3zt9fqmvca74o8zw14hkmijkw&amp;dl=0","Click to download Image")</f>
      </c>
      <c r="B3738" s="0">
        <f>HYPERLINK("https://dl.dropboxusercontent.com/scl/fi/2127gecpabbicqrotthsj/size-chartyouth-a.jpg?rlkey=8kd3a1ig8cynyka5y2xxvhmp1&amp;dl=0","Click to download SizeChart")</f>
      </c>
      <c r="C3738" s="0" t="inlineStr">
        <is>
          <t>Dillard Youth Basketball Jersey</t>
        </is>
      </c>
      <c r="D3738" s="1">
        <v>95141</v>
      </c>
      <c r="E3738" s="0" t="inlineStr">
        <is>
          <t>DILLARD JERSEY:95141A - YS</t>
        </is>
      </c>
      <c r="G3738" s="0" t="inlineStr">
        <is>
          <t>YOUTH</t>
        </is>
      </c>
      <c r="H3738" s="0" t="inlineStr">
        <is>
          <t>YS</t>
        </is>
      </c>
      <c r="I3738" s="0">
        <v>22.99</v>
      </c>
      <c r="J3738" s="0">
        <v>64</v>
      </c>
    </row>
    <row r="3739" spans="1:10" customHeight="0">
      <c r="A3739" s="0">
        <f>HYPERLINK("https://dl.dropboxusercontent.com/scl/fi/hw7fqwroalv60zgms91jf/95307af.jpg?rlkey=3zt9fqmvca74o8zw14hkmijkw&amp;dl=0","Click to download Image")</f>
      </c>
      <c r="B3739" s="0">
        <f>HYPERLINK("https://dl.dropboxusercontent.com/scl/fi/2127gecpabbicqrotthsj/size-chartyouth-a.jpg?rlkey=8kd3a1ig8cynyka5y2xxvhmp1&amp;dl=0","Click to download SizeChart")</f>
      </c>
      <c r="C3739" s="0" t="inlineStr">
        <is>
          <t>Dillard Youth Basketball Jersey</t>
        </is>
      </c>
      <c r="D3739" s="1">
        <v>95141</v>
      </c>
      <c r="E3739" s="0" t="inlineStr">
        <is>
          <t>DILLARD JERSEY:95141B - YM</t>
        </is>
      </c>
      <c r="G3739" s="0" t="inlineStr">
        <is>
          <t>YOUTH</t>
        </is>
      </c>
      <c r="H3739" s="0" t="inlineStr">
        <is>
          <t>YM</t>
        </is>
      </c>
      <c r="I3739" s="0">
        <v>22.99</v>
      </c>
      <c r="J3739" s="0">
        <v>72</v>
      </c>
    </row>
    <row r="3740" spans="1:10" customHeight="0">
      <c r="A3740" s="0">
        <f>HYPERLINK("https://dl.dropboxusercontent.com/scl/fi/hw7fqwroalv60zgms91jf/95307af.jpg?rlkey=3zt9fqmvca74o8zw14hkmijkw&amp;dl=0","Click to download Image")</f>
      </c>
      <c r="B3740" s="0">
        <f>HYPERLINK("https://dl.dropboxusercontent.com/scl/fi/2127gecpabbicqrotthsj/size-chartyouth-a.jpg?rlkey=8kd3a1ig8cynyka5y2xxvhmp1&amp;dl=0","Click to download SizeChart")</f>
      </c>
      <c r="C3740" s="0" t="inlineStr">
        <is>
          <t>Dillard Youth Basketball Jersey</t>
        </is>
      </c>
      <c r="D3740" s="1">
        <v>95141</v>
      </c>
      <c r="E3740" s="0" t="inlineStr">
        <is>
          <t>DILLARD JERSEY:95141C - YL</t>
        </is>
      </c>
      <c r="G3740" s="0" t="inlineStr">
        <is>
          <t>YOUTH</t>
        </is>
      </c>
      <c r="H3740" s="0" t="inlineStr">
        <is>
          <t>YL</t>
        </is>
      </c>
      <c r="I3740" s="0">
        <v>22.99</v>
      </c>
      <c r="J3740" s="0">
        <v>79</v>
      </c>
    </row>
    <row r="3741" spans="1:10" customHeight="0">
      <c r="A3741" s="0">
        <f>HYPERLINK("https://dl.dropboxusercontent.com/scl/fi/hw7fqwroalv60zgms91jf/95307af.jpg?rlkey=3zt9fqmvca74o8zw14hkmijkw&amp;dl=0","Click to download Image")</f>
      </c>
      <c r="B3741" s="0">
        <f>HYPERLINK("https://dl.dropboxusercontent.com/scl/fi/2127gecpabbicqrotthsj/size-chartyouth-a.jpg?rlkey=8kd3a1ig8cynyka5y2xxvhmp1&amp;dl=0","Click to download SizeChart")</f>
      </c>
      <c r="C3741" s="0" t="inlineStr">
        <is>
          <t>Dillard Youth Basketball Jersey</t>
        </is>
      </c>
      <c r="D3741" s="1">
        <v>95141</v>
      </c>
      <c r="E3741" s="0" t="inlineStr">
        <is>
          <t>DILLARD JERSEY:95141D - YXL</t>
        </is>
      </c>
      <c r="G3741" s="0" t="inlineStr">
        <is>
          <t>YOUTH</t>
        </is>
      </c>
      <c r="H3741" s="0" t="inlineStr">
        <is>
          <t>YXL</t>
        </is>
      </c>
      <c r="I3741" s="0">
        <v>22.99</v>
      </c>
      <c r="J3741" s="0">
        <v>83</v>
      </c>
    </row>
    <row r="3742" spans="1:10" customHeight="0">
      <c r="A3742" s="0">
        <f>HYPERLINK("https://dl.dropboxusercontent.com/scl/fi/677hgu7vz3j4kq0q1i428/95307af.jpg?rlkey=dhi5noj5lrzyaqwhzlumro6hk&amp;dl=0","Click to download Image")</f>
      </c>
      <c r="B3742" s="0">
        <f>HYPERLINK("https://dl.dropboxusercontent.com/scl/fi/45zt2dp159jhr4adkzbxy/mens-a.jpg?rlkey=oalltlrknucejktho3lq8j5tg&amp;dl=0","Click to download SizeChart")</f>
      </c>
      <c r="C3742" s="0" t="inlineStr">
        <is>
          <t>Dillard Men's Basketball Jersey</t>
        </is>
      </c>
      <c r="D3742" s="1">
        <v>95307</v>
      </c>
      <c r="E3742" s="0" t="inlineStr">
        <is>
          <t>DILLARD JERSEY:95307A-AS</t>
        </is>
      </c>
      <c r="G3742" s="0" t="inlineStr">
        <is>
          <t>MENS</t>
        </is>
      </c>
      <c r="H3742" s="0" t="inlineStr">
        <is>
          <t>S</t>
        </is>
      </c>
      <c r="I3742" s="0">
        <v>22.99</v>
      </c>
      <c r="J3742" s="0">
        <v>64</v>
      </c>
    </row>
    <row r="3743" spans="1:10" customHeight="0">
      <c r="A3743" s="0">
        <f>HYPERLINK("https://dl.dropboxusercontent.com/scl/fi/677hgu7vz3j4kq0q1i428/95307af.jpg?rlkey=dhi5noj5lrzyaqwhzlumro6hk&amp;dl=0","Click to download Image")</f>
      </c>
      <c r="B3743" s="0">
        <f>HYPERLINK("https://dl.dropboxusercontent.com/scl/fi/45zt2dp159jhr4adkzbxy/mens-a.jpg?rlkey=oalltlrknucejktho3lq8j5tg&amp;dl=0","Click to download SizeChart")</f>
      </c>
      <c r="C3743" s="0" t="inlineStr">
        <is>
          <t>Dillard Men's Basketball Jersey</t>
        </is>
      </c>
      <c r="D3743" s="1">
        <v>95307</v>
      </c>
      <c r="E3743" s="0" t="inlineStr">
        <is>
          <t>DILLARD JERSEY:95307B-AM</t>
        </is>
      </c>
      <c r="G3743" s="0" t="inlineStr">
        <is>
          <t>MENS</t>
        </is>
      </c>
      <c r="H3743" s="0" t="inlineStr">
        <is>
          <t>M</t>
        </is>
      </c>
      <c r="I3743" s="0">
        <v>22.99</v>
      </c>
      <c r="J3743" s="0">
        <v>65</v>
      </c>
    </row>
    <row r="3744" spans="1:10" customHeight="0">
      <c r="A3744" s="0">
        <f>HYPERLINK("https://dl.dropboxusercontent.com/scl/fi/rr0rj5r1ub69m2nw2rwks/96714af.jpg?rlkey=qw245zpd4vhhzsce8hu9cgw34&amp;dl=0","Click to download Image")</f>
      </c>
      <c r="B3744" s="0">
        <f>HYPERLINK("https://dl.dropboxusercontent.com/scl/fi/6t35nzj79f7qv45f9brkz/size-chartyouth-c.jpg?rlkey=6mfiabcvmja6bjg54uvy8g2ce&amp;dl=0","Click to download SizeChart")</f>
      </c>
      <c r="C3744" s="0" t="inlineStr">
        <is>
          <t>Dexter Youth Basketball Jersey</t>
        </is>
      </c>
      <c r="D3744" s="1">
        <v>96719</v>
      </c>
      <c r="E3744" s="0" t="inlineStr">
        <is>
          <t>DEXTER JERSEY:96719A-S</t>
        </is>
      </c>
      <c r="G3744" s="0" t="inlineStr">
        <is>
          <t>YOUTH</t>
        </is>
      </c>
      <c r="H3744" s="0" t="inlineStr">
        <is>
          <t>YS</t>
        </is>
      </c>
      <c r="I3744" s="0">
        <v>34.99</v>
      </c>
      <c r="J3744" s="0">
        <v>50</v>
      </c>
    </row>
    <row r="3745" spans="1:10" customHeight="0">
      <c r="A3745" s="0">
        <f>HYPERLINK("https://dl.dropboxusercontent.com/scl/fi/rr0rj5r1ub69m2nw2rwks/96714af.jpg?rlkey=qw245zpd4vhhzsce8hu9cgw34&amp;dl=0","Click to download Image")</f>
      </c>
      <c r="B3745" s="0">
        <f>HYPERLINK("https://dl.dropboxusercontent.com/scl/fi/6t35nzj79f7qv45f9brkz/size-chartyouth-c.jpg?rlkey=6mfiabcvmja6bjg54uvy8g2ce&amp;dl=0","Click to download SizeChart")</f>
      </c>
      <c r="C3745" s="0" t="inlineStr">
        <is>
          <t>Dexter Youth Basketball Jersey</t>
        </is>
      </c>
      <c r="D3745" s="1">
        <v>96719</v>
      </c>
      <c r="E3745" s="0" t="inlineStr">
        <is>
          <t>DEXTER JERSEY:96719B-M</t>
        </is>
      </c>
      <c r="G3745" s="0" t="inlineStr">
        <is>
          <t>YOUTH</t>
        </is>
      </c>
      <c r="H3745" s="0" t="inlineStr">
        <is>
          <t>YM</t>
        </is>
      </c>
      <c r="I3745" s="0">
        <v>34.99</v>
      </c>
      <c r="J3745" s="0">
        <v>62</v>
      </c>
    </row>
    <row r="3746" spans="1:10" customHeight="0">
      <c r="A3746" s="0">
        <f>HYPERLINK("https://dl.dropboxusercontent.com/scl/fi/rr0rj5r1ub69m2nw2rwks/96714af.jpg?rlkey=qw245zpd4vhhzsce8hu9cgw34&amp;dl=0","Click to download Image")</f>
      </c>
      <c r="B3746" s="0">
        <f>HYPERLINK("https://dl.dropboxusercontent.com/scl/fi/6t35nzj79f7qv45f9brkz/size-chartyouth-c.jpg?rlkey=6mfiabcvmja6bjg54uvy8g2ce&amp;dl=0","Click to download SizeChart")</f>
      </c>
      <c r="C3746" s="0" t="inlineStr">
        <is>
          <t>Dexter Youth Basketball Jersey</t>
        </is>
      </c>
      <c r="D3746" s="1">
        <v>96719</v>
      </c>
      <c r="E3746" s="0" t="inlineStr">
        <is>
          <t>DEXTER JERSEY:96719C-L</t>
        </is>
      </c>
      <c r="G3746" s="0" t="inlineStr">
        <is>
          <t>YOUTH</t>
        </is>
      </c>
      <c r="H3746" s="0" t="inlineStr">
        <is>
          <t>YL</t>
        </is>
      </c>
      <c r="I3746" s="0">
        <v>34.99</v>
      </c>
      <c r="J3746" s="0">
        <v>49</v>
      </c>
    </row>
    <row r="3747" spans="1:10" customHeight="0">
      <c r="A3747" s="0">
        <f>HYPERLINK("https://dl.dropboxusercontent.com/scl/fi/rr0rj5r1ub69m2nw2rwks/96714af.jpg?rlkey=qw245zpd4vhhzsce8hu9cgw34&amp;dl=0","Click to download Image")</f>
      </c>
      <c r="B3747" s="0">
        <f>HYPERLINK("https://dl.dropboxusercontent.com/scl/fi/6t35nzj79f7qv45f9brkz/size-chartyouth-c.jpg?rlkey=6mfiabcvmja6bjg54uvy8g2ce&amp;dl=0","Click to download SizeChart")</f>
      </c>
      <c r="C3747" s="0" t="inlineStr">
        <is>
          <t>Dexter Youth Basketball Jersey</t>
        </is>
      </c>
      <c r="D3747" s="1">
        <v>96719</v>
      </c>
      <c r="E3747" s="0" t="inlineStr">
        <is>
          <t>DEXTER JERSEY:96719D-XL</t>
        </is>
      </c>
      <c r="G3747" s="0" t="inlineStr">
        <is>
          <t>YOUTH</t>
        </is>
      </c>
      <c r="H3747" s="0" t="inlineStr">
        <is>
          <t>YXL</t>
        </is>
      </c>
      <c r="I3747" s="0">
        <v>34.99</v>
      </c>
      <c r="J3747" s="0">
        <v>55</v>
      </c>
    </row>
    <row r="3748" spans="1:10" customHeight="0">
      <c r="A3748" s="0">
        <f>HYPERLINK("https://dl.dropboxusercontent.com/scl/fi/k9m7oa9tswry11tmrqev0/96714af.jpg?rlkey=5zuyu806dw6ycjtxbgexinbtx&amp;dl=0","Click to download Image")</f>
      </c>
      <c r="B3748" s="0">
        <f>HYPERLINK("https://dl.dropboxusercontent.com/scl/fi/423c4pxl196i0omojzcb4/mens-a.jpg?rlkey=2jtrl7lm2ff3tx83jmnnltndw&amp;dl=0","Click to download SizeChart")</f>
      </c>
      <c r="C3748" s="0" t="inlineStr">
        <is>
          <t>Dexter Men's Basketball Jersey</t>
        </is>
      </c>
      <c r="D3748" s="1">
        <v>96714</v>
      </c>
      <c r="E3748" s="0" t="inlineStr">
        <is>
          <t>DEXTER JERSEY:96714A-S</t>
        </is>
      </c>
      <c r="G3748" s="0" t="inlineStr">
        <is>
          <t>MENS</t>
        </is>
      </c>
      <c r="H3748" s="0" t="inlineStr">
        <is>
          <t>S</t>
        </is>
      </c>
      <c r="I3748" s="0">
        <v>34.99</v>
      </c>
      <c r="J3748" s="0">
        <v>25</v>
      </c>
    </row>
    <row r="3749" spans="1:10" customHeight="0">
      <c r="A3749" s="0">
        <f>HYPERLINK("https://dl.dropboxusercontent.com/scl/fi/k9m7oa9tswry11tmrqev0/96714af.jpg?rlkey=5zuyu806dw6ycjtxbgexinbtx&amp;dl=0","Click to download Image")</f>
      </c>
      <c r="B3749" s="0">
        <f>HYPERLINK("https://dl.dropboxusercontent.com/scl/fi/423c4pxl196i0omojzcb4/mens-a.jpg?rlkey=2jtrl7lm2ff3tx83jmnnltndw&amp;dl=0","Click to download SizeChart")</f>
      </c>
      <c r="C3749" s="0" t="inlineStr">
        <is>
          <t>Dexter Men's Basketball Jersey</t>
        </is>
      </c>
      <c r="D3749" s="1">
        <v>96714</v>
      </c>
      <c r="E3749" s="0" t="inlineStr">
        <is>
          <t>DEXTER JERSEY:96714B-M</t>
        </is>
      </c>
      <c r="G3749" s="0" t="inlineStr">
        <is>
          <t>MENS</t>
        </is>
      </c>
      <c r="H3749" s="0" t="inlineStr">
        <is>
          <t>M</t>
        </is>
      </c>
      <c r="I3749" s="0">
        <v>34.99</v>
      </c>
      <c r="J3749" s="0">
        <v>29</v>
      </c>
    </row>
    <row r="3750" spans="1:10" customHeight="0">
      <c r="A3750" s="0">
        <f>HYPERLINK("https://dl.dropboxusercontent.com/scl/fi/bvbl4toh5kug6jgbq77sv/96716af.jpg?rlkey=ygn0rxajvc36rf5mas5lgtc6w&amp;dl=0","Click to download Image")</f>
      </c>
      <c r="C3750" s="0" t="inlineStr">
        <is>
          <t>Dexter Youth Basketball Shorts</t>
        </is>
      </c>
      <c r="D3750" s="1">
        <v>97288</v>
      </c>
      <c r="E3750" s="0" t="inlineStr">
        <is>
          <t>DEXTER SHORTS:96717A-S</t>
        </is>
      </c>
      <c r="G3750" s="0" t="inlineStr">
        <is>
          <t>YOUTH</t>
        </is>
      </c>
      <c r="H3750" s="0" t="inlineStr">
        <is>
          <t>YS</t>
        </is>
      </c>
      <c r="I3750" s="0">
        <v>34.99</v>
      </c>
      <c r="J3750" s="0">
        <v>38</v>
      </c>
    </row>
    <row r="3751" spans="1:10" customHeight="0">
      <c r="A3751" s="0">
        <f>HYPERLINK("https://dl.dropboxusercontent.com/scl/fi/bvbl4toh5kug6jgbq77sv/96716af.jpg?rlkey=ygn0rxajvc36rf5mas5lgtc6w&amp;dl=0","Click to download Image")</f>
      </c>
      <c r="C3751" s="0" t="inlineStr">
        <is>
          <t>Dexter Youth Basketball Shorts</t>
        </is>
      </c>
      <c r="D3751" s="1">
        <v>97288</v>
      </c>
      <c r="E3751" s="0" t="inlineStr">
        <is>
          <t>DEXTER SHORTS:96717B-M</t>
        </is>
      </c>
      <c r="G3751" s="0" t="inlineStr">
        <is>
          <t>YOUTH</t>
        </is>
      </c>
      <c r="H3751" s="0" t="inlineStr">
        <is>
          <t>YM</t>
        </is>
      </c>
      <c r="I3751" s="0">
        <v>34.99</v>
      </c>
      <c r="J3751" s="0">
        <v>41</v>
      </c>
    </row>
    <row r="3752" spans="1:10" customHeight="0">
      <c r="A3752" s="0">
        <f>HYPERLINK("https://dl.dropboxusercontent.com/scl/fi/bvbl4toh5kug6jgbq77sv/96716af.jpg?rlkey=ygn0rxajvc36rf5mas5lgtc6w&amp;dl=0","Click to download Image")</f>
      </c>
      <c r="C3752" s="0" t="inlineStr">
        <is>
          <t>Dexter Youth Basketball Shorts</t>
        </is>
      </c>
      <c r="D3752" s="1">
        <v>97288</v>
      </c>
      <c r="E3752" s="0" t="inlineStr">
        <is>
          <t>DEXTER SHORTS:96717C-L</t>
        </is>
      </c>
      <c r="G3752" s="0" t="inlineStr">
        <is>
          <t>YOUTH</t>
        </is>
      </c>
      <c r="H3752" s="0" t="inlineStr">
        <is>
          <t>YL</t>
        </is>
      </c>
      <c r="I3752" s="0">
        <v>34.99</v>
      </c>
      <c r="J3752" s="0">
        <v>36</v>
      </c>
    </row>
    <row r="3753" spans="1:10" customHeight="0">
      <c r="A3753" s="0">
        <f>HYPERLINK("https://dl.dropboxusercontent.com/scl/fi/bvbl4toh5kug6jgbq77sv/96716af.jpg?rlkey=ygn0rxajvc36rf5mas5lgtc6w&amp;dl=0","Click to download Image")</f>
      </c>
      <c r="C3753" s="0" t="inlineStr">
        <is>
          <t>Dexter Youth Basketball Shorts</t>
        </is>
      </c>
      <c r="D3753" s="1">
        <v>97288</v>
      </c>
      <c r="E3753" s="0" t="inlineStr">
        <is>
          <t>DEXTER SHORTS:96717D-XL</t>
        </is>
      </c>
      <c r="G3753" s="0" t="inlineStr">
        <is>
          <t>YOUTH</t>
        </is>
      </c>
      <c r="H3753" s="0" t="inlineStr">
        <is>
          <t>YXL</t>
        </is>
      </c>
      <c r="I3753" s="0">
        <v>34.99</v>
      </c>
      <c r="J3753" s="0">
        <v>42</v>
      </c>
    </row>
    <row r="3754" spans="1:10" customHeight="0">
      <c r="A3754" s="0">
        <f>HYPERLINK("https://dl.dropboxusercontent.com/scl/fi/674zbjtsn2t8gaiq0lsuy/96716af.jpg?rlkey=yf0xidr19y6wrb7543zg8k2r4&amp;dl=0","Click to download Image")</f>
      </c>
      <c r="C3754" s="0" t="inlineStr">
        <is>
          <t>Dexter Men's Basketball Shorts</t>
        </is>
      </c>
      <c r="D3754" s="1">
        <v>96716</v>
      </c>
      <c r="E3754" s="0" t="inlineStr">
        <is>
          <t>DEXTER SHORTS:96716A-S</t>
        </is>
      </c>
      <c r="G3754" s="0" t="inlineStr">
        <is>
          <t>MENS</t>
        </is>
      </c>
      <c r="H3754" s="0" t="inlineStr">
        <is>
          <t>S</t>
        </is>
      </c>
      <c r="I3754" s="0">
        <v>34.99</v>
      </c>
      <c r="J3754" s="0">
        <v>28</v>
      </c>
    </row>
    <row r="3755" spans="1:10" customHeight="0">
      <c r="A3755" s="0">
        <f>HYPERLINK("https://dl.dropboxusercontent.com/scl/fi/674zbjtsn2t8gaiq0lsuy/96716af.jpg?rlkey=yf0xidr19y6wrb7543zg8k2r4&amp;dl=0","Click to download Image")</f>
      </c>
      <c r="C3755" s="0" t="inlineStr">
        <is>
          <t>Dexter Men's Basketball Shorts</t>
        </is>
      </c>
      <c r="D3755" s="1">
        <v>96716</v>
      </c>
      <c r="E3755" s="0" t="inlineStr">
        <is>
          <t>DEXTER SHORTS:96716B-M</t>
        </is>
      </c>
      <c r="G3755" s="0" t="inlineStr">
        <is>
          <t>MENS</t>
        </is>
      </c>
      <c r="H3755" s="0" t="inlineStr">
        <is>
          <t>M</t>
        </is>
      </c>
      <c r="I3755" s="0">
        <v>34.99</v>
      </c>
      <c r="J3755" s="0">
        <v>21</v>
      </c>
    </row>
    <row r="3756" spans="1:10" customHeight="0">
      <c r="A3756" s="0">
        <f>HYPERLINK("https://dl.dropboxusercontent.com/scl/fi/g6s9g640zxd6e4vr8hlq4/ns.jpg?rlkey=za3paf44mb5ecje1zidre24rq&amp;dl=0","Click to download Image")</f>
      </c>
      <c r="C3756" s="0" t="inlineStr">
        <is>
          <t>Licensed Youth Neck Sleeves</t>
        </is>
      </c>
      <c r="D3756" s="1">
        <v>119354</v>
      </c>
      <c r="E3756" s="0" t="inlineStr">
        <is>
          <t>IOWA YOUTH NECK SLEEVE:119354OSFM</t>
        </is>
      </c>
      <c r="F3756" s="2">
        <v>800119354342</v>
      </c>
      <c r="H3756" s="0" t="inlineStr">
        <is>
          <t>OSFM</t>
        </is>
      </c>
      <c r="I3756" s="0">
        <v>19.99</v>
      </c>
      <c r="J3756" s="0">
        <v>300</v>
      </c>
    </row>
    <row r="3757" spans="1:10" customHeight="0">
      <c r="A3757" s="0">
        <f>HYPERLINK("https://dl.dropboxusercontent.com/scl/fi/by0l9ovgqu1pka1j8zsrz/licensed-ns-a-03.jpg?rlkey=9j072ilurtna6ww7cfddozbau&amp;dl=0","Click to download Image")</f>
      </c>
      <c r="C3757" s="0" t="inlineStr">
        <is>
          <t>Licensed Youth Neck Sleeves</t>
        </is>
      </c>
      <c r="D3757" s="1">
        <v>119357</v>
      </c>
      <c r="E3757" s="0" t="inlineStr">
        <is>
          <t>IOWA YOUTH NECK SLEEVE:119357OSFM</t>
        </is>
      </c>
      <c r="F3757" s="2">
        <v>800119354342</v>
      </c>
      <c r="H3757" s="0" t="inlineStr">
        <is>
          <t>OSFM</t>
        </is>
      </c>
      <c r="I3757" s="0">
        <v>19.99</v>
      </c>
      <c r="J3757" s="0">
        <v>108</v>
      </c>
    </row>
    <row r="3758" spans="1:10" customHeight="0">
      <c r="A3758" s="0">
        <f>HYPERLINK("https://dl.dropboxusercontent.com/scl/fi/ckonz0c87jfwfvedmp3ns/licensed-ns-a-04.jpg?rlkey=34ufxxcvfgexh738hlz9xfbbm&amp;dl=0","Click to download Image")</f>
      </c>
      <c r="C3758" s="0" t="inlineStr">
        <is>
          <t>Licensed Youth Neck Sleeves</t>
        </is>
      </c>
      <c r="D3758" s="1">
        <v>119360</v>
      </c>
      <c r="E3758" s="0" t="inlineStr">
        <is>
          <t>IOWA YOUTH NECK SLEEVE:119360OSFM</t>
        </is>
      </c>
      <c r="F3758" s="2">
        <v>800119354342</v>
      </c>
      <c r="H3758" s="0" t="inlineStr">
        <is>
          <t>OSFM</t>
        </is>
      </c>
      <c r="I3758" s="0">
        <v>19.99</v>
      </c>
      <c r="J3758" s="0">
        <v>245</v>
      </c>
    </row>
    <row r="3759" spans="1:10" customHeight="0">
      <c r="A3759" s="0">
        <f>HYPERLINK("https://dl.dropboxusercontent.com/scl/fi/wghwfjwyxw5e3jent96fm/licensed-ns-a-05.jpg?rlkey=dgsrh50zzjpaintbvbmf4no7u&amp;dl=0","Click to download Image")</f>
      </c>
      <c r="C3759" s="0" t="inlineStr">
        <is>
          <t>Licensed Youth Neck Sleeves</t>
        </is>
      </c>
      <c r="D3759" s="1">
        <v>119364</v>
      </c>
      <c r="E3759" s="0" t="inlineStr">
        <is>
          <t>IOWA YOUTH NECK SLEEVE:119364OSFM</t>
        </is>
      </c>
      <c r="F3759" s="2">
        <v>800119354342</v>
      </c>
      <c r="H3759" s="0" t="inlineStr">
        <is>
          <t>OSFM</t>
        </is>
      </c>
      <c r="I3759" s="0">
        <v>19.99</v>
      </c>
      <c r="J3759" s="0">
        <v>277</v>
      </c>
    </row>
    <row r="3760" spans="1:10" customHeight="0">
      <c r="A3760" s="0">
        <f>HYPERLINK("https://dl.dropboxusercontent.com/scl/fi/4yzvi5y8z5rwrjie2lxli/licensed-ns-a-06.jpg?rlkey=wizv1xkpysg1gzhb4jbr26nsh&amp;dl=0","Click to download Image")</f>
      </c>
      <c r="C3760" s="0" t="inlineStr">
        <is>
          <t>Licensed Youth Neck Sleeves</t>
        </is>
      </c>
      <c r="D3760" s="1">
        <v>119351</v>
      </c>
      <c r="E3760" s="0" t="inlineStr">
        <is>
          <t>IOWA YOUTH NECK SLEEVE:119351OSFM</t>
        </is>
      </c>
      <c r="F3760" s="2">
        <v>800119354342</v>
      </c>
      <c r="H3760" s="0" t="inlineStr">
        <is>
          <t>OSFM</t>
        </is>
      </c>
      <c r="I3760" s="0">
        <v>19.99</v>
      </c>
      <c r="J3760" s="0">
        <v>245</v>
      </c>
    </row>
    <row r="3761" spans="1:10" customHeight="0">
      <c r="A3761" s="0">
        <f>HYPERLINK("https://dl.dropboxusercontent.com/scl/fi/yxey92k4tohf7he5qqjfx/158917f.jpg?rlkey=4vwkym5vslp9ggo708aur9sxc&amp;dl=0","Click to download Image")</f>
      </c>
      <c r="B3761" s="0">
        <f>HYPERLINK("https://dl.dropboxusercontent.com/scl/fi/803648cgq23lxzr9p1c6v/womens-size-chartsflint.jpg?rlkey=rh764uld2g627snaidf5hbelq&amp;dl=0","Click to download SizeChart")</f>
      </c>
      <c r="C3761" s="0" t="inlineStr">
        <is>
          <t>Flint Women's 1/4 Zips</t>
        </is>
      </c>
      <c r="D3761" s="1">
        <v>158917</v>
      </c>
      <c r="E3761" s="0" t="inlineStr">
        <is>
          <t>IOWA FLINT W GY:158917A-S</t>
        </is>
      </c>
      <c r="F3761" s="2">
        <v>800158917041</v>
      </c>
      <c r="G3761" s="0" t="inlineStr">
        <is>
          <t>WOMENS</t>
        </is>
      </c>
      <c r="H3761" s="0" t="inlineStr">
        <is>
          <t>S</t>
        </is>
      </c>
      <c r="I3761" s="0">
        <v>44.99</v>
      </c>
      <c r="J3761" s="0">
        <v>13</v>
      </c>
    </row>
    <row r="3762" spans="1:10" customHeight="0">
      <c r="A3762" s="0">
        <f>HYPERLINK("https://dl.dropboxusercontent.com/scl/fi/yxey92k4tohf7he5qqjfx/158917f.jpg?rlkey=4vwkym5vslp9ggo708aur9sxc&amp;dl=0","Click to download Image")</f>
      </c>
      <c r="B3762" s="0">
        <f>HYPERLINK("https://dl.dropboxusercontent.com/scl/fi/803648cgq23lxzr9p1c6v/womens-size-chartsflint.jpg?rlkey=rh764uld2g627snaidf5hbelq&amp;dl=0","Click to download SizeChart")</f>
      </c>
      <c r="C3762" s="0" t="inlineStr">
        <is>
          <t>Flint Women's 1/4 Zips</t>
        </is>
      </c>
      <c r="D3762" s="1">
        <v>158917</v>
      </c>
      <c r="E3762" s="0" t="inlineStr">
        <is>
          <t>IOWA FLINT W GY:158917B-M</t>
        </is>
      </c>
      <c r="F3762" s="2">
        <v>800158917058</v>
      </c>
      <c r="G3762" s="0" t="inlineStr">
        <is>
          <t>WOMENS</t>
        </is>
      </c>
      <c r="H3762" s="0" t="inlineStr">
        <is>
          <t>M</t>
        </is>
      </c>
      <c r="I3762" s="0">
        <v>44.99</v>
      </c>
      <c r="J3762" s="0">
        <v>13</v>
      </c>
    </row>
    <row r="3763" spans="1:10" customHeight="0">
      <c r="A3763" s="0">
        <f>HYPERLINK("https://dl.dropboxusercontent.com/scl/fi/yxey92k4tohf7he5qqjfx/158917f.jpg?rlkey=4vwkym5vslp9ggo708aur9sxc&amp;dl=0","Click to download Image")</f>
      </c>
      <c r="B3763" s="0">
        <f>HYPERLINK("https://dl.dropboxusercontent.com/scl/fi/803648cgq23lxzr9p1c6v/womens-size-chartsflint.jpg?rlkey=rh764uld2g627snaidf5hbelq&amp;dl=0","Click to download SizeChart")</f>
      </c>
      <c r="C3763" s="0" t="inlineStr">
        <is>
          <t>Flint Women's 1/4 Zips</t>
        </is>
      </c>
      <c r="D3763" s="1">
        <v>158917</v>
      </c>
      <c r="E3763" s="0" t="inlineStr">
        <is>
          <t>IOWA FLINT W GY:158917C-L</t>
        </is>
      </c>
      <c r="F3763" s="2">
        <v>800158917065</v>
      </c>
      <c r="G3763" s="0" t="inlineStr">
        <is>
          <t>WOMENS</t>
        </is>
      </c>
      <c r="H3763" s="0" t="inlineStr">
        <is>
          <t>L</t>
        </is>
      </c>
      <c r="I3763" s="0">
        <v>44.99</v>
      </c>
      <c r="J3763" s="0">
        <v>13</v>
      </c>
    </row>
    <row r="3764" spans="1:10" customHeight="0">
      <c r="A3764" s="0">
        <f>HYPERLINK("https://dl.dropboxusercontent.com/scl/fi/yxey92k4tohf7he5qqjfx/158917f.jpg?rlkey=4vwkym5vslp9ggo708aur9sxc&amp;dl=0","Click to download Image")</f>
      </c>
      <c r="B3764" s="0">
        <f>HYPERLINK("https://dl.dropboxusercontent.com/scl/fi/803648cgq23lxzr9p1c6v/womens-size-chartsflint.jpg?rlkey=rh764uld2g627snaidf5hbelq&amp;dl=0","Click to download SizeChart")</f>
      </c>
      <c r="C3764" s="0" t="inlineStr">
        <is>
          <t>Flint Women's 1/4 Zips</t>
        </is>
      </c>
      <c r="D3764" s="1">
        <v>158917</v>
      </c>
      <c r="E3764" s="0" t="inlineStr">
        <is>
          <t>IOWA FLINT W GY:158917D-XL</t>
        </is>
      </c>
      <c r="F3764" s="2">
        <v>800158917072</v>
      </c>
      <c r="G3764" s="0" t="inlineStr">
        <is>
          <t>WOMENS</t>
        </is>
      </c>
      <c r="H3764" s="0" t="inlineStr">
        <is>
          <t>XL</t>
        </is>
      </c>
      <c r="I3764" s="0">
        <v>44.99</v>
      </c>
      <c r="J3764" s="0">
        <v>13</v>
      </c>
    </row>
    <row r="3765" spans="1:10" customHeight="0">
      <c r="A3765" s="0">
        <f>HYPERLINK("https://dl.dropboxusercontent.com/scl/fi/yxey92k4tohf7he5qqjfx/158917f.jpg?rlkey=4vwkym5vslp9ggo708aur9sxc&amp;dl=0","Click to download Image")</f>
      </c>
      <c r="B3765" s="0">
        <f>HYPERLINK("https://dl.dropboxusercontent.com/scl/fi/803648cgq23lxzr9p1c6v/womens-size-chartsflint.jpg?rlkey=rh764uld2g627snaidf5hbelq&amp;dl=0","Click to download SizeChart")</f>
      </c>
      <c r="C3765" s="0" t="inlineStr">
        <is>
          <t>Flint Women's 1/4 Zips</t>
        </is>
      </c>
      <c r="D3765" s="1">
        <v>158917</v>
      </c>
      <c r="E3765" s="0" t="inlineStr">
        <is>
          <t>IOWA FLINT W GY:158917E-2XL</t>
        </is>
      </c>
      <c r="F3765" s="2">
        <v>800158917089</v>
      </c>
      <c r="G3765" s="0" t="inlineStr">
        <is>
          <t>WOMENS</t>
        </is>
      </c>
      <c r="H3765" s="0" t="inlineStr">
        <is>
          <t>2XL</t>
        </is>
      </c>
      <c r="I3765" s="0">
        <v>46.99</v>
      </c>
      <c r="J3765" s="0">
        <v>13</v>
      </c>
    </row>
    <row r="3766" spans="1:10" customHeight="0">
      <c r="A3766" s="0">
        <f>HYPERLINK("https://dl.dropboxusercontent.com/scl/fi/yxey92k4tohf7he5qqjfx/158917f.jpg?rlkey=4vwkym5vslp9ggo708aur9sxc&amp;dl=0","Click to download Image")</f>
      </c>
      <c r="B3766" s="0">
        <f>HYPERLINK("https://dl.dropboxusercontent.com/scl/fi/803648cgq23lxzr9p1c6v/womens-size-chartsflint.jpg?rlkey=rh764uld2g627snaidf5hbelq&amp;dl=0","Click to download SizeChart")</f>
      </c>
      <c r="C3766" s="0" t="inlineStr">
        <is>
          <t>Flint Women's 1/4 Zips</t>
        </is>
      </c>
      <c r="D3766" s="1">
        <v>158917</v>
      </c>
      <c r="E3766" s="0" t="inlineStr">
        <is>
          <t>IOWA FLINT W GY:158917F-3XL</t>
        </is>
      </c>
      <c r="F3766" s="2">
        <v>800158917096</v>
      </c>
      <c r="G3766" s="0" t="inlineStr">
        <is>
          <t>WOMENS</t>
        </is>
      </c>
      <c r="H3766" s="0" t="inlineStr">
        <is>
          <t>3XL</t>
        </is>
      </c>
      <c r="I3766" s="0">
        <v>46.99</v>
      </c>
      <c r="J3766" s="0">
        <v>13</v>
      </c>
    </row>
    <row r="3767" spans="1:10" customHeight="0">
      <c r="A3767" s="0">
        <f>HYPERLINK("https://dl.dropboxusercontent.com/scl/fi/5imrwbwdp9kefzbtmokri/flint-ol1.jpg?rlkey=4gggelf9289zu9byzkgxnb7ib&amp;dl=0","Click to download Image")</f>
      </c>
      <c r="B3767" s="0">
        <f>HYPERLINK("https://dl.dropboxusercontent.com/scl/fi/803648cgq23lxzr9p1c6v/womens-size-chartsflint.jpg?rlkey=rh764uld2g627snaidf5hbelq&amp;dl=0","Click to download SizeChart")</f>
      </c>
      <c r="C3767" s="0" t="inlineStr">
        <is>
          <t>Flint Women's 1/4 Zips</t>
        </is>
      </c>
      <c r="D3767" s="1">
        <v>159040</v>
      </c>
      <c r="E3767" s="0" t="inlineStr">
        <is>
          <t>IOWA FLINT W OL:159040A-S</t>
        </is>
      </c>
      <c r="F3767" s="2">
        <v>800159040045</v>
      </c>
      <c r="G3767" s="0" t="inlineStr">
        <is>
          <t>WOMENS</t>
        </is>
      </c>
      <c r="H3767" s="0" t="inlineStr">
        <is>
          <t>S</t>
        </is>
      </c>
      <c r="I3767" s="0">
        <v>44.99</v>
      </c>
      <c r="J3767" s="0">
        <v>31</v>
      </c>
    </row>
    <row r="3768" spans="1:10" customHeight="0">
      <c r="A3768" s="0">
        <f>HYPERLINK("https://dl.dropboxusercontent.com/scl/fi/5imrwbwdp9kefzbtmokri/flint-ol1.jpg?rlkey=4gggelf9289zu9byzkgxnb7ib&amp;dl=0","Click to download Image")</f>
      </c>
      <c r="B3768" s="0">
        <f>HYPERLINK("https://dl.dropboxusercontent.com/scl/fi/803648cgq23lxzr9p1c6v/womens-size-chartsflint.jpg?rlkey=rh764uld2g627snaidf5hbelq&amp;dl=0","Click to download SizeChart")</f>
      </c>
      <c r="C3768" s="0" t="inlineStr">
        <is>
          <t>Flint Women's 1/4 Zips</t>
        </is>
      </c>
      <c r="D3768" s="1">
        <v>159040</v>
      </c>
      <c r="E3768" s="0" t="inlineStr">
        <is>
          <t>IOWA FLINT W OL:159040B-M</t>
        </is>
      </c>
      <c r="F3768" s="2">
        <v>800159040052</v>
      </c>
      <c r="G3768" s="0" t="inlineStr">
        <is>
          <t>WOMENS</t>
        </is>
      </c>
      <c r="H3768" s="0" t="inlineStr">
        <is>
          <t>M</t>
        </is>
      </c>
      <c r="I3768" s="0">
        <v>44.99</v>
      </c>
      <c r="J3768" s="0">
        <v>65</v>
      </c>
    </row>
    <row r="3769" spans="1:10" customHeight="0">
      <c r="A3769" s="0">
        <f>HYPERLINK("https://dl.dropboxusercontent.com/scl/fi/5imrwbwdp9kefzbtmokri/flint-ol1.jpg?rlkey=4gggelf9289zu9byzkgxnb7ib&amp;dl=0","Click to download Image")</f>
      </c>
      <c r="B3769" s="0">
        <f>HYPERLINK("https://dl.dropboxusercontent.com/scl/fi/803648cgq23lxzr9p1c6v/womens-size-chartsflint.jpg?rlkey=rh764uld2g627snaidf5hbelq&amp;dl=0","Click to download SizeChart")</f>
      </c>
      <c r="C3769" s="0" t="inlineStr">
        <is>
          <t>Flint Women's 1/4 Zips</t>
        </is>
      </c>
      <c r="D3769" s="1">
        <v>159040</v>
      </c>
      <c r="E3769" s="0" t="inlineStr">
        <is>
          <t>IOWA FLINT W OL:159040C-L</t>
        </is>
      </c>
      <c r="F3769" s="2">
        <v>800159040069</v>
      </c>
      <c r="G3769" s="0" t="inlineStr">
        <is>
          <t>WOMENS</t>
        </is>
      </c>
      <c r="H3769" s="0" t="inlineStr">
        <is>
          <t>L</t>
        </is>
      </c>
      <c r="I3769" s="0">
        <v>44.99</v>
      </c>
      <c r="J3769" s="0">
        <v>62</v>
      </c>
    </row>
    <row r="3770" spans="1:10" customHeight="0">
      <c r="A3770" s="0">
        <f>HYPERLINK("https://dl.dropboxusercontent.com/scl/fi/5imrwbwdp9kefzbtmokri/flint-ol1.jpg?rlkey=4gggelf9289zu9byzkgxnb7ib&amp;dl=0","Click to download Image")</f>
      </c>
      <c r="B3770" s="0">
        <f>HYPERLINK("https://dl.dropboxusercontent.com/scl/fi/803648cgq23lxzr9p1c6v/womens-size-chartsflint.jpg?rlkey=rh764uld2g627snaidf5hbelq&amp;dl=0","Click to download SizeChart")</f>
      </c>
      <c r="C3770" s="0" t="inlineStr">
        <is>
          <t>Flint Women's 1/4 Zips</t>
        </is>
      </c>
      <c r="D3770" s="1">
        <v>159040</v>
      </c>
      <c r="E3770" s="0" t="inlineStr">
        <is>
          <t>IOWA FLINT W OL:159040D-XL</t>
        </is>
      </c>
      <c r="F3770" s="2">
        <v>800159040076</v>
      </c>
      <c r="G3770" s="0" t="inlineStr">
        <is>
          <t>WOMENS</t>
        </is>
      </c>
      <c r="H3770" s="0" t="inlineStr">
        <is>
          <t>XL</t>
        </is>
      </c>
      <c r="I3770" s="0">
        <v>44.99</v>
      </c>
      <c r="J3770" s="0">
        <v>28</v>
      </c>
    </row>
    <row r="3771" spans="1:10" customHeight="0">
      <c r="A3771" s="0">
        <f>HYPERLINK("https://dl.dropboxusercontent.com/scl/fi/5imrwbwdp9kefzbtmokri/flint-ol1.jpg?rlkey=4gggelf9289zu9byzkgxnb7ib&amp;dl=0","Click to download Image")</f>
      </c>
      <c r="B3771" s="0">
        <f>HYPERLINK("https://dl.dropboxusercontent.com/scl/fi/803648cgq23lxzr9p1c6v/womens-size-chartsflint.jpg?rlkey=rh764uld2g627snaidf5hbelq&amp;dl=0","Click to download SizeChart")</f>
      </c>
      <c r="C3771" s="0" t="inlineStr">
        <is>
          <t>Flint Women's 1/4 Zips</t>
        </is>
      </c>
      <c r="D3771" s="1">
        <v>159040</v>
      </c>
      <c r="E3771" s="0" t="inlineStr">
        <is>
          <t>IOWA FLINT W OL:159040E-2XL</t>
        </is>
      </c>
      <c r="F3771" s="2">
        <v>800159040083</v>
      </c>
      <c r="G3771" s="0" t="inlineStr">
        <is>
          <t>WOMENS</t>
        </is>
      </c>
      <c r="H3771" s="0" t="inlineStr">
        <is>
          <t>2XL</t>
        </is>
      </c>
      <c r="I3771" s="0">
        <v>46.99</v>
      </c>
      <c r="J3771" s="0">
        <v>19</v>
      </c>
    </row>
    <row r="3772" spans="1:10" customHeight="0">
      <c r="A3772" s="0">
        <f>HYPERLINK("https://dl.dropboxusercontent.com/scl/fi/5imrwbwdp9kefzbtmokri/flint-ol1.jpg?rlkey=4gggelf9289zu9byzkgxnb7ib&amp;dl=0","Click to download Image")</f>
      </c>
      <c r="B3772" s="0">
        <f>HYPERLINK("https://dl.dropboxusercontent.com/scl/fi/803648cgq23lxzr9p1c6v/womens-size-chartsflint.jpg?rlkey=rh764uld2g627snaidf5hbelq&amp;dl=0","Click to download SizeChart")</f>
      </c>
      <c r="C3772" s="0" t="inlineStr">
        <is>
          <t>Flint Women's 1/4 Zips</t>
        </is>
      </c>
      <c r="D3772" s="1">
        <v>159040</v>
      </c>
      <c r="E3772" s="0" t="inlineStr">
        <is>
          <t>IOWA FLINT W OL:159040F-3XL</t>
        </is>
      </c>
      <c r="F3772" s="2">
        <v>800159040090</v>
      </c>
      <c r="G3772" s="0" t="inlineStr">
        <is>
          <t>WOMENS</t>
        </is>
      </c>
      <c r="H3772" s="0" t="inlineStr">
        <is>
          <t>3XL</t>
        </is>
      </c>
      <c r="I3772" s="0">
        <v>46.99</v>
      </c>
      <c r="J3772" s="0">
        <v>9</v>
      </c>
    </row>
    <row r="3773" spans="1:10" customHeight="0">
      <c r="A3773" s="0">
        <f>HYPERLINK("https://dl.dropboxusercontent.com/scl/fi/qukohuhnunc8cagnw2uah/mock-iowa-flint-w-hg-v1-03.jpg?rlkey=z75b3e4o5o8clxw0zcvqalors&amp;dl=0","Click to download Image")</f>
      </c>
      <c r="B3773" s="0">
        <f>HYPERLINK("https://dl.dropboxusercontent.com/scl/fi/803648cgq23lxzr9p1c6v/womens-size-chartsflint.jpg?rlkey=rh764uld2g627snaidf5hbelq&amp;dl=0","Click to download SizeChart")</f>
      </c>
      <c r="C3773" s="0" t="inlineStr">
        <is>
          <t>Flint Women's 1/4 Zips</t>
        </is>
      </c>
      <c r="D3773" s="1">
        <v>164642</v>
      </c>
      <c r="E3773" s="0" t="inlineStr">
        <is>
          <t>IOWA FLINT W HG:164642A-S</t>
        </is>
      </c>
      <c r="F3773" s="2">
        <v>800164642043</v>
      </c>
      <c r="G3773" s="0" t="inlineStr">
        <is>
          <t>WOMENS</t>
        </is>
      </c>
      <c r="H3773" s="0" t="inlineStr">
        <is>
          <t>S</t>
        </is>
      </c>
      <c r="I3773" s="0">
        <v>44.99</v>
      </c>
      <c r="J3773" s="0">
        <v>39</v>
      </c>
    </row>
    <row r="3774" spans="1:10" customHeight="0">
      <c r="A3774" s="0">
        <f>HYPERLINK("https://dl.dropboxusercontent.com/scl/fi/qukohuhnunc8cagnw2uah/mock-iowa-flint-w-hg-v1-03.jpg?rlkey=z75b3e4o5o8clxw0zcvqalors&amp;dl=0","Click to download Image")</f>
      </c>
      <c r="B3774" s="0">
        <f>HYPERLINK("https://dl.dropboxusercontent.com/scl/fi/803648cgq23lxzr9p1c6v/womens-size-chartsflint.jpg?rlkey=rh764uld2g627snaidf5hbelq&amp;dl=0","Click to download SizeChart")</f>
      </c>
      <c r="C3774" s="0" t="inlineStr">
        <is>
          <t>Flint Women's 1/4 Zips</t>
        </is>
      </c>
      <c r="D3774" s="1">
        <v>164642</v>
      </c>
      <c r="E3774" s="0" t="inlineStr">
        <is>
          <t>IOWA FLINT W HG:164642B-M</t>
        </is>
      </c>
      <c r="F3774" s="2">
        <v>800164642050</v>
      </c>
      <c r="G3774" s="0" t="inlineStr">
        <is>
          <t>WOMENS</t>
        </is>
      </c>
      <c r="H3774" s="0" t="inlineStr">
        <is>
          <t>M</t>
        </is>
      </c>
      <c r="I3774" s="0">
        <v>44.99</v>
      </c>
      <c r="J3774" s="0">
        <v>77</v>
      </c>
    </row>
    <row r="3775" spans="1:10" customHeight="0">
      <c r="A3775" s="0">
        <f>HYPERLINK("https://dl.dropboxusercontent.com/scl/fi/qukohuhnunc8cagnw2uah/mock-iowa-flint-w-hg-v1-03.jpg?rlkey=z75b3e4o5o8clxw0zcvqalors&amp;dl=0","Click to download Image")</f>
      </c>
      <c r="B3775" s="0">
        <f>HYPERLINK("https://dl.dropboxusercontent.com/scl/fi/803648cgq23lxzr9p1c6v/womens-size-chartsflint.jpg?rlkey=rh764uld2g627snaidf5hbelq&amp;dl=0","Click to download SizeChart")</f>
      </c>
      <c r="C3775" s="0" t="inlineStr">
        <is>
          <t>Flint Women's 1/4 Zips</t>
        </is>
      </c>
      <c r="D3775" s="1">
        <v>164642</v>
      </c>
      <c r="E3775" s="0" t="inlineStr">
        <is>
          <t>IOWA FLINT W HG:164642C-L</t>
        </is>
      </c>
      <c r="F3775" s="2">
        <v>800164642067</v>
      </c>
      <c r="G3775" s="0" t="inlineStr">
        <is>
          <t>WOMENS</t>
        </is>
      </c>
      <c r="H3775" s="0" t="inlineStr">
        <is>
          <t>L</t>
        </is>
      </c>
      <c r="I3775" s="0">
        <v>44.99</v>
      </c>
      <c r="J3775" s="0">
        <v>75</v>
      </c>
    </row>
    <row r="3776" spans="1:10" customHeight="0">
      <c r="A3776" s="0">
        <f>HYPERLINK("https://dl.dropboxusercontent.com/scl/fi/qukohuhnunc8cagnw2uah/mock-iowa-flint-w-hg-v1-03.jpg?rlkey=z75b3e4o5o8clxw0zcvqalors&amp;dl=0","Click to download Image")</f>
      </c>
      <c r="B3776" s="0">
        <f>HYPERLINK("https://dl.dropboxusercontent.com/scl/fi/803648cgq23lxzr9p1c6v/womens-size-chartsflint.jpg?rlkey=rh764uld2g627snaidf5hbelq&amp;dl=0","Click to download SizeChart")</f>
      </c>
      <c r="C3776" s="0" t="inlineStr">
        <is>
          <t>Flint Women's 1/4 Zips</t>
        </is>
      </c>
      <c r="D3776" s="1">
        <v>164642</v>
      </c>
      <c r="E3776" s="0" t="inlineStr">
        <is>
          <t>IOWA FLINT W HG:164642D-XL</t>
        </is>
      </c>
      <c r="F3776" s="2">
        <v>800164642074</v>
      </c>
      <c r="G3776" s="0" t="inlineStr">
        <is>
          <t>WOMENS</t>
        </is>
      </c>
      <c r="H3776" s="0" t="inlineStr">
        <is>
          <t>XL</t>
        </is>
      </c>
      <c r="I3776" s="0">
        <v>44.99</v>
      </c>
      <c r="J3776" s="0">
        <v>37</v>
      </c>
    </row>
    <row r="3777" spans="1:10" customHeight="0">
      <c r="A3777" s="0">
        <f>HYPERLINK("https://dl.dropboxusercontent.com/scl/fi/qukohuhnunc8cagnw2uah/mock-iowa-flint-w-hg-v1-03.jpg?rlkey=z75b3e4o5o8clxw0zcvqalors&amp;dl=0","Click to download Image")</f>
      </c>
      <c r="B3777" s="0">
        <f>HYPERLINK("https://dl.dropboxusercontent.com/scl/fi/803648cgq23lxzr9p1c6v/womens-size-chartsflint.jpg?rlkey=rh764uld2g627snaidf5hbelq&amp;dl=0","Click to download SizeChart")</f>
      </c>
      <c r="C3777" s="0" t="inlineStr">
        <is>
          <t>Flint Women's 1/4 Zips</t>
        </is>
      </c>
      <c r="D3777" s="1">
        <v>164642</v>
      </c>
      <c r="E3777" s="0" t="inlineStr">
        <is>
          <t>IOWA FLINT W HG:164642E-2XL</t>
        </is>
      </c>
      <c r="F3777" s="2">
        <v>800164642081</v>
      </c>
      <c r="G3777" s="0" t="inlineStr">
        <is>
          <t>WOMENS</t>
        </is>
      </c>
      <c r="H3777" s="0" t="inlineStr">
        <is>
          <t>2XL</t>
        </is>
      </c>
      <c r="I3777" s="0">
        <v>46.99</v>
      </c>
      <c r="J3777" s="0">
        <v>18</v>
      </c>
    </row>
    <row r="3778" spans="1:10" customHeight="0">
      <c r="A3778" s="0">
        <f>HYPERLINK("https://dl.dropboxusercontent.com/scl/fi/qukohuhnunc8cagnw2uah/mock-iowa-flint-w-hg-v1-03.jpg?rlkey=z75b3e4o5o8clxw0zcvqalors&amp;dl=0","Click to download Image")</f>
      </c>
      <c r="B3778" s="0">
        <f>HYPERLINK("https://dl.dropboxusercontent.com/scl/fi/803648cgq23lxzr9p1c6v/womens-size-chartsflint.jpg?rlkey=rh764uld2g627snaidf5hbelq&amp;dl=0","Click to download SizeChart")</f>
      </c>
      <c r="C3778" s="0" t="inlineStr">
        <is>
          <t>Flint Women's 1/4 Zips</t>
        </is>
      </c>
      <c r="D3778" s="1">
        <v>164642</v>
      </c>
      <c r="E3778" s="0" t="inlineStr">
        <is>
          <t>IOWA FLINT W HG:164642F-3XL</t>
        </is>
      </c>
      <c r="F3778" s="2">
        <v>800164642098</v>
      </c>
      <c r="G3778" s="0" t="inlineStr">
        <is>
          <t>WOMENS</t>
        </is>
      </c>
      <c r="H3778" s="0" t="inlineStr">
        <is>
          <t>3XL</t>
        </is>
      </c>
      <c r="I3778" s="0">
        <v>46.99</v>
      </c>
      <c r="J3778" s="0">
        <v>8</v>
      </c>
    </row>
    <row r="3779" spans="1:10" customHeight="0">
      <c r="A3779" s="0">
        <f>HYPERLINK("https://dl.dropboxusercontent.com/scl/fi/g7faghyeisr90wfnuavt8/159041f.jpg?rlkey=cb98zvwjbd73sq2z34oibrbml&amp;dl=0","Click to download Image")</f>
      </c>
      <c r="B3779" s="0">
        <f>HYPERLINK("https://dl.dropboxusercontent.com/scl/fi/weheexgtmgxqqo49oqqwo/mens-pullover-size-chartsflint.jpg?rlkey=i4aa2uy9sj4l04bwwoh59so3f&amp;dl=0","Click to download SizeChart")</f>
      </c>
      <c r="C3779" s="0" t="inlineStr">
        <is>
          <t>Flint Men's 1/4 Zips</t>
        </is>
      </c>
      <c r="D3779" s="1">
        <v>159041</v>
      </c>
      <c r="E3779" s="0" t="inlineStr">
        <is>
          <t>IOWA FLINT M OL:159041A-S</t>
        </is>
      </c>
      <c r="F3779" s="2">
        <v>800159041042</v>
      </c>
      <c r="G3779" s="0" t="inlineStr">
        <is>
          <t>MENS</t>
        </is>
      </c>
      <c r="H3779" s="0" t="inlineStr">
        <is>
          <t>S</t>
        </is>
      </c>
      <c r="I3779" s="0">
        <v>44.99</v>
      </c>
      <c r="J3779" s="0">
        <v>27</v>
      </c>
    </row>
    <row r="3780" spans="1:10" customHeight="0">
      <c r="A3780" s="0">
        <f>HYPERLINK("https://dl.dropboxusercontent.com/scl/fi/g7faghyeisr90wfnuavt8/159041f.jpg?rlkey=cb98zvwjbd73sq2z34oibrbml&amp;dl=0","Click to download Image")</f>
      </c>
      <c r="B3780" s="0">
        <f>HYPERLINK("https://dl.dropboxusercontent.com/scl/fi/weheexgtmgxqqo49oqqwo/mens-pullover-size-chartsflint.jpg?rlkey=i4aa2uy9sj4l04bwwoh59so3f&amp;dl=0","Click to download SizeChart")</f>
      </c>
      <c r="C3780" s="0" t="inlineStr">
        <is>
          <t>Flint Men's 1/4 Zips</t>
        </is>
      </c>
      <c r="D3780" s="1">
        <v>159041</v>
      </c>
      <c r="E3780" s="0" t="inlineStr">
        <is>
          <t>IOWA FLINT M OL:159041B-M</t>
        </is>
      </c>
      <c r="F3780" s="2">
        <v>800159041059</v>
      </c>
      <c r="G3780" s="0" t="inlineStr">
        <is>
          <t>MENS</t>
        </is>
      </c>
      <c r="H3780" s="0" t="inlineStr">
        <is>
          <t>M</t>
        </is>
      </c>
      <c r="I3780" s="0">
        <v>44.99</v>
      </c>
      <c r="J3780" s="0">
        <v>58</v>
      </c>
    </row>
    <row r="3781" spans="1:10" customHeight="0">
      <c r="A3781" s="0">
        <f>HYPERLINK("https://dl.dropboxusercontent.com/scl/fi/g7faghyeisr90wfnuavt8/159041f.jpg?rlkey=cb98zvwjbd73sq2z34oibrbml&amp;dl=0","Click to download Image")</f>
      </c>
      <c r="B3781" s="0">
        <f>HYPERLINK("https://dl.dropboxusercontent.com/scl/fi/weheexgtmgxqqo49oqqwo/mens-pullover-size-chartsflint.jpg?rlkey=i4aa2uy9sj4l04bwwoh59so3f&amp;dl=0","Click to download SizeChart")</f>
      </c>
      <c r="C3781" s="0" t="inlineStr">
        <is>
          <t>Flint Men's 1/4 Zips</t>
        </is>
      </c>
      <c r="D3781" s="1">
        <v>159041</v>
      </c>
      <c r="E3781" s="0" t="inlineStr">
        <is>
          <t>IOWA FLINT M OL:159041C-L</t>
        </is>
      </c>
      <c r="F3781" s="2">
        <v>800159041066</v>
      </c>
      <c r="G3781" s="0" t="inlineStr">
        <is>
          <t>MENS</t>
        </is>
      </c>
      <c r="H3781" s="0" t="inlineStr">
        <is>
          <t>L</t>
        </is>
      </c>
      <c r="I3781" s="0">
        <v>44.99</v>
      </c>
      <c r="J3781" s="0">
        <v>80</v>
      </c>
    </row>
    <row r="3782" spans="1:10" customHeight="0">
      <c r="A3782" s="0">
        <f>HYPERLINK("https://dl.dropboxusercontent.com/scl/fi/g7faghyeisr90wfnuavt8/159041f.jpg?rlkey=cb98zvwjbd73sq2z34oibrbml&amp;dl=0","Click to download Image")</f>
      </c>
      <c r="B3782" s="0">
        <f>HYPERLINK("https://dl.dropboxusercontent.com/scl/fi/weheexgtmgxqqo49oqqwo/mens-pullover-size-chartsflint.jpg?rlkey=i4aa2uy9sj4l04bwwoh59so3f&amp;dl=0","Click to download SizeChart")</f>
      </c>
      <c r="C3782" s="0" t="inlineStr">
        <is>
          <t>Flint Men's 1/4 Zips</t>
        </is>
      </c>
      <c r="D3782" s="1">
        <v>159041</v>
      </c>
      <c r="E3782" s="0" t="inlineStr">
        <is>
          <t>IOWA FLINT M OL:159041D-XL</t>
        </is>
      </c>
      <c r="F3782" s="2">
        <v>800159041073</v>
      </c>
      <c r="G3782" s="0" t="inlineStr">
        <is>
          <t>MENS</t>
        </is>
      </c>
      <c r="H3782" s="0" t="inlineStr">
        <is>
          <t>XL</t>
        </is>
      </c>
      <c r="I3782" s="0">
        <v>44.99</v>
      </c>
      <c r="J3782" s="0">
        <v>82</v>
      </c>
    </row>
    <row r="3783" spans="1:10" customHeight="0">
      <c r="A3783" s="0">
        <f>HYPERLINK("https://dl.dropboxusercontent.com/scl/fi/g7faghyeisr90wfnuavt8/159041f.jpg?rlkey=cb98zvwjbd73sq2z34oibrbml&amp;dl=0","Click to download Image")</f>
      </c>
      <c r="B3783" s="0">
        <f>HYPERLINK("https://dl.dropboxusercontent.com/scl/fi/weheexgtmgxqqo49oqqwo/mens-pullover-size-chartsflint.jpg?rlkey=i4aa2uy9sj4l04bwwoh59so3f&amp;dl=0","Click to download SizeChart")</f>
      </c>
      <c r="C3783" s="0" t="inlineStr">
        <is>
          <t>Flint Men's 1/4 Zips</t>
        </is>
      </c>
      <c r="D3783" s="1">
        <v>159041</v>
      </c>
      <c r="E3783" s="0" t="inlineStr">
        <is>
          <t>IOWA FLINT M OL:159041E-2XL</t>
        </is>
      </c>
      <c r="F3783" s="2">
        <v>800159041080</v>
      </c>
      <c r="G3783" s="0" t="inlineStr">
        <is>
          <t>MENS</t>
        </is>
      </c>
      <c r="H3783" s="0" t="inlineStr">
        <is>
          <t>2XL</t>
        </is>
      </c>
      <c r="I3783" s="0">
        <v>46.99</v>
      </c>
      <c r="J3783" s="0">
        <v>53</v>
      </c>
    </row>
    <row r="3784" spans="1:10" customHeight="0">
      <c r="A3784" s="0">
        <f>HYPERLINK("https://dl.dropboxusercontent.com/scl/fi/g7faghyeisr90wfnuavt8/159041f.jpg?rlkey=cb98zvwjbd73sq2z34oibrbml&amp;dl=0","Click to download Image")</f>
      </c>
      <c r="B3784" s="0">
        <f>HYPERLINK("https://dl.dropboxusercontent.com/scl/fi/weheexgtmgxqqo49oqqwo/mens-pullover-size-chartsflint.jpg?rlkey=i4aa2uy9sj4l04bwwoh59so3f&amp;dl=0","Click to download SizeChart")</f>
      </c>
      <c r="C3784" s="0" t="inlineStr">
        <is>
          <t>Flint Men's 1/4 Zips</t>
        </is>
      </c>
      <c r="D3784" s="1">
        <v>159041</v>
      </c>
      <c r="E3784" s="0" t="inlineStr">
        <is>
          <t>IOWA FLINT M OL:159041F-3XL</t>
        </is>
      </c>
      <c r="F3784" s="2">
        <v>800159041097</v>
      </c>
      <c r="G3784" s="0" t="inlineStr">
        <is>
          <t>MENS</t>
        </is>
      </c>
      <c r="H3784" s="0" t="inlineStr">
        <is>
          <t>3XL</t>
        </is>
      </c>
      <c r="I3784" s="0">
        <v>46.99</v>
      </c>
      <c r="J3784" s="0">
        <v>21</v>
      </c>
    </row>
    <row r="3785" spans="1:10" customHeight="0">
      <c r="A3785" s="0">
        <f>HYPERLINK("https://dl.dropboxusercontent.com/scl/fi/4xh4n47a53cgmsu38y3it/159031.jpg?rlkey=zbm1j47qneh347o3kooehiacm&amp;dl=0","Click to download Image")</f>
      </c>
      <c r="B3785" s="0">
        <f>HYPERLINK("https://dl.dropboxusercontent.com/scl/fi/weheexgtmgxqqo49oqqwo/mens-pullover-size-chartsflint.jpg?rlkey=i4aa2uy9sj4l04bwwoh59so3f&amp;dl=0","Click to download SizeChart")</f>
      </c>
      <c r="C3785" s="0" t="inlineStr">
        <is>
          <t>Flint Men's 1/4 Zips</t>
        </is>
      </c>
      <c r="D3785" s="1">
        <v>159031</v>
      </c>
      <c r="E3785" s="0" t="inlineStr">
        <is>
          <t>IOWA FLINT M GY:159031A-S</t>
        </is>
      </c>
      <c r="F3785" s="2">
        <v>800159031043</v>
      </c>
      <c r="G3785" s="0" t="inlineStr">
        <is>
          <t>MENS</t>
        </is>
      </c>
      <c r="H3785" s="0" t="inlineStr">
        <is>
          <t>S</t>
        </is>
      </c>
      <c r="I3785" s="0">
        <v>44.99</v>
      </c>
      <c r="J3785" s="0">
        <v>13</v>
      </c>
    </row>
    <row r="3786" spans="1:10" customHeight="0">
      <c r="A3786" s="0">
        <f>HYPERLINK("https://dl.dropboxusercontent.com/scl/fi/4xh4n47a53cgmsu38y3it/159031.jpg?rlkey=zbm1j47qneh347o3kooehiacm&amp;dl=0","Click to download Image")</f>
      </c>
      <c r="B3786" s="0">
        <f>HYPERLINK("https://dl.dropboxusercontent.com/scl/fi/weheexgtmgxqqo49oqqwo/mens-pullover-size-chartsflint.jpg?rlkey=i4aa2uy9sj4l04bwwoh59so3f&amp;dl=0","Click to download SizeChart")</f>
      </c>
      <c r="C3786" s="0" t="inlineStr">
        <is>
          <t>Flint Men's 1/4 Zips</t>
        </is>
      </c>
      <c r="D3786" s="1">
        <v>159031</v>
      </c>
      <c r="E3786" s="0" t="inlineStr">
        <is>
          <t>IOWA FLINT M GY:159031B-M</t>
        </is>
      </c>
      <c r="F3786" s="2">
        <v>800159031050</v>
      </c>
      <c r="G3786" s="0" t="inlineStr">
        <is>
          <t>MENS</t>
        </is>
      </c>
      <c r="H3786" s="0" t="inlineStr">
        <is>
          <t>M</t>
        </is>
      </c>
      <c r="I3786" s="0">
        <v>44.99</v>
      </c>
      <c r="J3786" s="0">
        <v>13</v>
      </c>
    </row>
    <row r="3787" spans="1:10" customHeight="0">
      <c r="A3787" s="0">
        <f>HYPERLINK("https://dl.dropboxusercontent.com/scl/fi/4xh4n47a53cgmsu38y3it/159031.jpg?rlkey=zbm1j47qneh347o3kooehiacm&amp;dl=0","Click to download Image")</f>
      </c>
      <c r="B3787" s="0">
        <f>HYPERLINK("https://dl.dropboxusercontent.com/scl/fi/weheexgtmgxqqo49oqqwo/mens-pullover-size-chartsflint.jpg?rlkey=i4aa2uy9sj4l04bwwoh59so3f&amp;dl=0","Click to download SizeChart")</f>
      </c>
      <c r="C3787" s="0" t="inlineStr">
        <is>
          <t>Flint Men's 1/4 Zips</t>
        </is>
      </c>
      <c r="D3787" s="1">
        <v>159031</v>
      </c>
      <c r="E3787" s="0" t="inlineStr">
        <is>
          <t>IOWA FLINT M GY:159031C-L</t>
        </is>
      </c>
      <c r="F3787" s="2">
        <v>800159031067</v>
      </c>
      <c r="G3787" s="0" t="inlineStr">
        <is>
          <t>MENS</t>
        </is>
      </c>
      <c r="H3787" s="0" t="inlineStr">
        <is>
          <t>L</t>
        </is>
      </c>
      <c r="I3787" s="0">
        <v>44.99</v>
      </c>
      <c r="J3787" s="0">
        <v>13</v>
      </c>
    </row>
    <row r="3788" spans="1:10" customHeight="0">
      <c r="A3788" s="0">
        <f>HYPERLINK("https://dl.dropboxusercontent.com/scl/fi/4xh4n47a53cgmsu38y3it/159031.jpg?rlkey=zbm1j47qneh347o3kooehiacm&amp;dl=0","Click to download Image")</f>
      </c>
      <c r="B3788" s="0">
        <f>HYPERLINK("https://dl.dropboxusercontent.com/scl/fi/weheexgtmgxqqo49oqqwo/mens-pullover-size-chartsflint.jpg?rlkey=i4aa2uy9sj4l04bwwoh59so3f&amp;dl=0","Click to download SizeChart")</f>
      </c>
      <c r="C3788" s="0" t="inlineStr">
        <is>
          <t>Flint Men's 1/4 Zips</t>
        </is>
      </c>
      <c r="D3788" s="1">
        <v>159031</v>
      </c>
      <c r="E3788" s="0" t="inlineStr">
        <is>
          <t>IOWA FLINT M GY:159031D-XL</t>
        </is>
      </c>
      <c r="F3788" s="2">
        <v>800159031074</v>
      </c>
      <c r="G3788" s="0" t="inlineStr">
        <is>
          <t>MENS</t>
        </is>
      </c>
      <c r="H3788" s="0" t="inlineStr">
        <is>
          <t>XL</t>
        </is>
      </c>
      <c r="I3788" s="0">
        <v>44.99</v>
      </c>
      <c r="J3788" s="0">
        <v>13</v>
      </c>
    </row>
    <row r="3789" spans="1:10" customHeight="0">
      <c r="A3789" s="0">
        <f>HYPERLINK("https://dl.dropboxusercontent.com/scl/fi/4xh4n47a53cgmsu38y3it/159031.jpg?rlkey=zbm1j47qneh347o3kooehiacm&amp;dl=0","Click to download Image")</f>
      </c>
      <c r="B3789" s="0">
        <f>HYPERLINK("https://dl.dropboxusercontent.com/scl/fi/weheexgtmgxqqo49oqqwo/mens-pullover-size-chartsflint.jpg?rlkey=i4aa2uy9sj4l04bwwoh59so3f&amp;dl=0","Click to download SizeChart")</f>
      </c>
      <c r="C3789" s="0" t="inlineStr">
        <is>
          <t>Flint Men's 1/4 Zips</t>
        </is>
      </c>
      <c r="D3789" s="1">
        <v>159031</v>
      </c>
      <c r="E3789" s="0" t="inlineStr">
        <is>
          <t>IOWA FLINT M GY:159031E-2XL</t>
        </is>
      </c>
      <c r="F3789" s="2">
        <v>800159031081</v>
      </c>
      <c r="G3789" s="0" t="inlineStr">
        <is>
          <t>MENS</t>
        </is>
      </c>
      <c r="H3789" s="0" t="inlineStr">
        <is>
          <t>2XL</t>
        </is>
      </c>
      <c r="I3789" s="0">
        <v>46.99</v>
      </c>
      <c r="J3789" s="0">
        <v>13</v>
      </c>
    </row>
    <row r="3790" spans="1:10" customHeight="0">
      <c r="A3790" s="0">
        <f>HYPERLINK("https://dl.dropboxusercontent.com/scl/fi/4xh4n47a53cgmsu38y3it/159031.jpg?rlkey=zbm1j47qneh347o3kooehiacm&amp;dl=0","Click to download Image")</f>
      </c>
      <c r="B3790" s="0">
        <f>HYPERLINK("https://dl.dropboxusercontent.com/scl/fi/weheexgtmgxqqo49oqqwo/mens-pullover-size-chartsflint.jpg?rlkey=i4aa2uy9sj4l04bwwoh59so3f&amp;dl=0","Click to download SizeChart")</f>
      </c>
      <c r="C3790" s="0" t="inlineStr">
        <is>
          <t>Flint Men's 1/4 Zips</t>
        </is>
      </c>
      <c r="D3790" s="1">
        <v>159031</v>
      </c>
      <c r="E3790" s="0" t="inlineStr">
        <is>
          <t>IOWA FLINT M GY:159031F-3XL</t>
        </is>
      </c>
      <c r="F3790" s="2">
        <v>800159031098</v>
      </c>
      <c r="G3790" s="0" t="inlineStr">
        <is>
          <t>MENS</t>
        </is>
      </c>
      <c r="H3790" s="0" t="inlineStr">
        <is>
          <t>3XL</t>
        </is>
      </c>
      <c r="I3790" s="0">
        <v>46.99</v>
      </c>
      <c r="J3790" s="0">
        <v>13</v>
      </c>
    </row>
    <row r="3791" spans="1:10" customHeight="0">
      <c r="A3791" s="0">
        <f>HYPERLINK("https://dl.dropboxusercontent.com/scl/fi/kr1semu8gyb9sp955ipb5/flint-160153.png?rlkey=kedkx2idzfvbqmi0qfvte3g3d&amp;dl=0","Click to download Image")</f>
      </c>
      <c r="B3791" s="0">
        <f>HYPERLINK("https://dl.dropboxusercontent.com/scl/fi/weheexgtmgxqqo49oqqwo/mens-pullover-size-chartsflint.jpg?rlkey=i4aa2uy9sj4l04bwwoh59so3f&amp;dl=0","Click to download SizeChart")</f>
      </c>
      <c r="C3791" s="0" t="inlineStr">
        <is>
          <t>Flint Men's 1/4 Zips</t>
        </is>
      </c>
      <c r="D3791" s="1">
        <v>160153</v>
      </c>
      <c r="E3791" s="0" t="inlineStr">
        <is>
          <t>IOWA FLINT M DG:160153A-S</t>
        </is>
      </c>
      <c r="F3791" s="2">
        <v>800160153048</v>
      </c>
      <c r="G3791" s="0" t="inlineStr">
        <is>
          <t>MENS</t>
        </is>
      </c>
      <c r="H3791" s="0" t="inlineStr">
        <is>
          <t>S</t>
        </is>
      </c>
      <c r="I3791" s="0">
        <v>44.99</v>
      </c>
      <c r="J3791" s="0">
        <v>48</v>
      </c>
    </row>
    <row r="3792" spans="1:10" customHeight="0">
      <c r="A3792" s="0">
        <f>HYPERLINK("https://dl.dropboxusercontent.com/scl/fi/kr1semu8gyb9sp955ipb5/flint-160153.png?rlkey=kedkx2idzfvbqmi0qfvte3g3d&amp;dl=0","Click to download Image")</f>
      </c>
      <c r="B3792" s="0">
        <f>HYPERLINK("https://dl.dropboxusercontent.com/scl/fi/weheexgtmgxqqo49oqqwo/mens-pullover-size-chartsflint.jpg?rlkey=i4aa2uy9sj4l04bwwoh59so3f&amp;dl=0","Click to download SizeChart")</f>
      </c>
      <c r="C3792" s="0" t="inlineStr">
        <is>
          <t>Flint Men's 1/4 Zips</t>
        </is>
      </c>
      <c r="D3792" s="1">
        <v>160153</v>
      </c>
      <c r="E3792" s="0" t="inlineStr">
        <is>
          <t>IOWA FLINT M DG:160153B-M</t>
        </is>
      </c>
      <c r="F3792" s="2">
        <v>800160153055</v>
      </c>
      <c r="G3792" s="0" t="inlineStr">
        <is>
          <t>MENS</t>
        </is>
      </c>
      <c r="H3792" s="0" t="inlineStr">
        <is>
          <t>M</t>
        </is>
      </c>
      <c r="I3792" s="0">
        <v>44.99</v>
      </c>
      <c r="J3792" s="0">
        <v>95</v>
      </c>
    </row>
    <row r="3793" spans="1:10" customHeight="0">
      <c r="A3793" s="0">
        <f>HYPERLINK("https://dl.dropboxusercontent.com/scl/fi/kr1semu8gyb9sp955ipb5/flint-160153.png?rlkey=kedkx2idzfvbqmi0qfvte3g3d&amp;dl=0","Click to download Image")</f>
      </c>
      <c r="B3793" s="0">
        <f>HYPERLINK("https://dl.dropboxusercontent.com/scl/fi/weheexgtmgxqqo49oqqwo/mens-pullover-size-chartsflint.jpg?rlkey=i4aa2uy9sj4l04bwwoh59so3f&amp;dl=0","Click to download SizeChart")</f>
      </c>
      <c r="C3793" s="0" t="inlineStr">
        <is>
          <t>Flint Men's 1/4 Zips</t>
        </is>
      </c>
      <c r="D3793" s="1">
        <v>160153</v>
      </c>
      <c r="E3793" s="0" t="inlineStr">
        <is>
          <t>IOWA FLINT M DG:160153C-L</t>
        </is>
      </c>
      <c r="F3793" s="2">
        <v>800160153062</v>
      </c>
      <c r="G3793" s="0" t="inlineStr">
        <is>
          <t>MENS</t>
        </is>
      </c>
      <c r="H3793" s="0" t="inlineStr">
        <is>
          <t>L</t>
        </is>
      </c>
      <c r="I3793" s="0">
        <v>44.99</v>
      </c>
      <c r="J3793" s="0">
        <v>113</v>
      </c>
    </row>
    <row r="3794" spans="1:10" customHeight="0">
      <c r="A3794" s="0">
        <f>HYPERLINK("https://dl.dropboxusercontent.com/scl/fi/kr1semu8gyb9sp955ipb5/flint-160153.png?rlkey=kedkx2idzfvbqmi0qfvte3g3d&amp;dl=0","Click to download Image")</f>
      </c>
      <c r="B3794" s="0">
        <f>HYPERLINK("https://dl.dropboxusercontent.com/scl/fi/weheexgtmgxqqo49oqqwo/mens-pullover-size-chartsflint.jpg?rlkey=i4aa2uy9sj4l04bwwoh59so3f&amp;dl=0","Click to download SizeChart")</f>
      </c>
      <c r="C3794" s="0" t="inlineStr">
        <is>
          <t>Flint Men's 1/4 Zips</t>
        </is>
      </c>
      <c r="D3794" s="1">
        <v>160153</v>
      </c>
      <c r="E3794" s="0" t="inlineStr">
        <is>
          <t>IOWA FLINT M DG:160153D-XL</t>
        </is>
      </c>
      <c r="F3794" s="2">
        <v>800160153079</v>
      </c>
      <c r="G3794" s="0" t="inlineStr">
        <is>
          <t>MENS</t>
        </is>
      </c>
      <c r="H3794" s="0" t="inlineStr">
        <is>
          <t>XL</t>
        </is>
      </c>
      <c r="I3794" s="0">
        <v>44.99</v>
      </c>
      <c r="J3794" s="0">
        <v>130</v>
      </c>
    </row>
    <row r="3795" spans="1:10" customHeight="0">
      <c r="A3795" s="0">
        <f>HYPERLINK("https://dl.dropboxusercontent.com/scl/fi/kr1semu8gyb9sp955ipb5/flint-160153.png?rlkey=kedkx2idzfvbqmi0qfvte3g3d&amp;dl=0","Click to download Image")</f>
      </c>
      <c r="B3795" s="0">
        <f>HYPERLINK("https://dl.dropboxusercontent.com/scl/fi/weheexgtmgxqqo49oqqwo/mens-pullover-size-chartsflint.jpg?rlkey=i4aa2uy9sj4l04bwwoh59so3f&amp;dl=0","Click to download SizeChart")</f>
      </c>
      <c r="C3795" s="0" t="inlineStr">
        <is>
          <t>Flint Men's 1/4 Zips</t>
        </is>
      </c>
      <c r="D3795" s="1">
        <v>160153</v>
      </c>
      <c r="E3795" s="0" t="inlineStr">
        <is>
          <t>IOWA FLINT M DG:160153E-2XL</t>
        </is>
      </c>
      <c r="F3795" s="2">
        <v>800160153086</v>
      </c>
      <c r="G3795" s="0" t="inlineStr">
        <is>
          <t>MENS</t>
        </is>
      </c>
      <c r="H3795" s="0" t="inlineStr">
        <is>
          <t>2XL</t>
        </is>
      </c>
      <c r="I3795" s="0">
        <v>46.99</v>
      </c>
      <c r="J3795" s="0">
        <v>91</v>
      </c>
    </row>
    <row r="3796" spans="1:10" customHeight="0">
      <c r="A3796" s="0">
        <f>HYPERLINK("https://dl.dropboxusercontent.com/scl/fi/kr1semu8gyb9sp955ipb5/flint-160153.png?rlkey=kedkx2idzfvbqmi0qfvte3g3d&amp;dl=0","Click to download Image")</f>
      </c>
      <c r="B3796" s="0">
        <f>HYPERLINK("https://dl.dropboxusercontent.com/scl/fi/weheexgtmgxqqo49oqqwo/mens-pullover-size-chartsflint.jpg?rlkey=i4aa2uy9sj4l04bwwoh59so3f&amp;dl=0","Click to download SizeChart")</f>
      </c>
      <c r="C3796" s="0" t="inlineStr">
        <is>
          <t>Flint Men's 1/4 Zips</t>
        </is>
      </c>
      <c r="D3796" s="1">
        <v>160153</v>
      </c>
      <c r="E3796" s="0" t="inlineStr">
        <is>
          <t>IOWA FLINT M DG:160153F-3XL</t>
        </is>
      </c>
      <c r="F3796" s="2">
        <v>800160153093</v>
      </c>
      <c r="G3796" s="0" t="inlineStr">
        <is>
          <t>MENS</t>
        </is>
      </c>
      <c r="H3796" s="0" t="inlineStr">
        <is>
          <t>3XL</t>
        </is>
      </c>
      <c r="I3796" s="0">
        <v>46.99</v>
      </c>
      <c r="J3796" s="0">
        <v>42</v>
      </c>
    </row>
    <row r="3797" spans="1:10" customHeight="0">
      <c r="A3797" s="0">
        <f>HYPERLINK("https://dl.dropboxusercontent.com/scl/fi/zppbd078nbiwgbbk8oc5v/mock-iowa-flint-m-hg-v1-03.jpg?rlkey=pdpd16u5pkh606wzib1hld85x&amp;dl=0","Click to download Image")</f>
      </c>
      <c r="B3797" s="0">
        <f>HYPERLINK("https://dl.dropboxusercontent.com/scl/fi/weheexgtmgxqqo49oqqwo/mens-pullover-size-chartsflint.jpg?rlkey=i4aa2uy9sj4l04bwwoh59so3f&amp;dl=0","Click to download SizeChart")</f>
      </c>
      <c r="C3797" s="0" t="inlineStr">
        <is>
          <t>Flint Men's 1/4 Zips</t>
        </is>
      </c>
      <c r="D3797" s="1">
        <v>164636</v>
      </c>
      <c r="E3797" s="0" t="inlineStr">
        <is>
          <t>IOWA FLINT M HG:164636A-S</t>
        </is>
      </c>
      <c r="F3797" s="2">
        <v>800164636042</v>
      </c>
      <c r="G3797" s="0" t="inlineStr">
        <is>
          <t>MENS</t>
        </is>
      </c>
      <c r="H3797" s="0" t="inlineStr">
        <is>
          <t>S</t>
        </is>
      </c>
      <c r="I3797" s="0">
        <v>44.99</v>
      </c>
      <c r="J3797" s="0">
        <v>30</v>
      </c>
    </row>
    <row r="3798" spans="1:10" customHeight="0">
      <c r="A3798" s="0">
        <f>HYPERLINK("https://dl.dropboxusercontent.com/scl/fi/zppbd078nbiwgbbk8oc5v/mock-iowa-flint-m-hg-v1-03.jpg?rlkey=pdpd16u5pkh606wzib1hld85x&amp;dl=0","Click to download Image")</f>
      </c>
      <c r="B3798" s="0">
        <f>HYPERLINK("https://dl.dropboxusercontent.com/scl/fi/weheexgtmgxqqo49oqqwo/mens-pullover-size-chartsflint.jpg?rlkey=i4aa2uy9sj4l04bwwoh59so3f&amp;dl=0","Click to download SizeChart")</f>
      </c>
      <c r="C3798" s="0" t="inlineStr">
        <is>
          <t>Flint Men's 1/4 Zips</t>
        </is>
      </c>
      <c r="D3798" s="1">
        <v>164636</v>
      </c>
      <c r="E3798" s="0" t="inlineStr">
        <is>
          <t>IOWA FLINT M HG:164636B-M</t>
        </is>
      </c>
      <c r="F3798" s="2">
        <v>800164636059</v>
      </c>
      <c r="G3798" s="0" t="inlineStr">
        <is>
          <t>MENS</t>
        </is>
      </c>
      <c r="H3798" s="0" t="inlineStr">
        <is>
          <t>M</t>
        </is>
      </c>
      <c r="I3798" s="0">
        <v>44.99</v>
      </c>
      <c r="J3798" s="0">
        <v>63</v>
      </c>
    </row>
    <row r="3799" spans="1:10" customHeight="0">
      <c r="A3799" s="0">
        <f>HYPERLINK("https://dl.dropboxusercontent.com/scl/fi/zppbd078nbiwgbbk8oc5v/mock-iowa-flint-m-hg-v1-03.jpg?rlkey=pdpd16u5pkh606wzib1hld85x&amp;dl=0","Click to download Image")</f>
      </c>
      <c r="B3799" s="0">
        <f>HYPERLINK("https://dl.dropboxusercontent.com/scl/fi/weheexgtmgxqqo49oqqwo/mens-pullover-size-chartsflint.jpg?rlkey=i4aa2uy9sj4l04bwwoh59so3f&amp;dl=0","Click to download SizeChart")</f>
      </c>
      <c r="C3799" s="0" t="inlineStr">
        <is>
          <t>Flint Men's 1/4 Zips</t>
        </is>
      </c>
      <c r="D3799" s="1">
        <v>164636</v>
      </c>
      <c r="E3799" s="0" t="inlineStr">
        <is>
          <t>IOWA FLINT M HG:164636C-L</t>
        </is>
      </c>
      <c r="F3799" s="2">
        <v>800164636066</v>
      </c>
      <c r="G3799" s="0" t="inlineStr">
        <is>
          <t>MENS</t>
        </is>
      </c>
      <c r="H3799" s="0" t="inlineStr">
        <is>
          <t>L</t>
        </is>
      </c>
      <c r="I3799" s="0">
        <v>44.99</v>
      </c>
      <c r="J3799" s="0">
        <v>79</v>
      </c>
    </row>
    <row r="3800" spans="1:10" customHeight="0">
      <c r="A3800" s="0">
        <f>HYPERLINK("https://dl.dropboxusercontent.com/scl/fi/zppbd078nbiwgbbk8oc5v/mock-iowa-flint-m-hg-v1-03.jpg?rlkey=pdpd16u5pkh606wzib1hld85x&amp;dl=0","Click to download Image")</f>
      </c>
      <c r="B3800" s="0">
        <f>HYPERLINK("https://dl.dropboxusercontent.com/scl/fi/weheexgtmgxqqo49oqqwo/mens-pullover-size-chartsflint.jpg?rlkey=i4aa2uy9sj4l04bwwoh59so3f&amp;dl=0","Click to download SizeChart")</f>
      </c>
      <c r="C3800" s="0" t="inlineStr">
        <is>
          <t>Flint Men's 1/4 Zips</t>
        </is>
      </c>
      <c r="D3800" s="1">
        <v>164636</v>
      </c>
      <c r="E3800" s="0" t="inlineStr">
        <is>
          <t>IOWA FLINT M HG:164636D-XL</t>
        </is>
      </c>
      <c r="F3800" s="2">
        <v>800164636073</v>
      </c>
      <c r="G3800" s="0" t="inlineStr">
        <is>
          <t>MENS</t>
        </is>
      </c>
      <c r="H3800" s="0" t="inlineStr">
        <is>
          <t>XL</t>
        </is>
      </c>
      <c r="I3800" s="0">
        <v>44.99</v>
      </c>
      <c r="J3800" s="0">
        <v>77</v>
      </c>
    </row>
    <row r="3801" spans="1:10" customHeight="0">
      <c r="A3801" s="0">
        <f>HYPERLINK("https://dl.dropboxusercontent.com/scl/fi/zppbd078nbiwgbbk8oc5v/mock-iowa-flint-m-hg-v1-03.jpg?rlkey=pdpd16u5pkh606wzib1hld85x&amp;dl=0","Click to download Image")</f>
      </c>
      <c r="B3801" s="0">
        <f>HYPERLINK("https://dl.dropboxusercontent.com/scl/fi/weheexgtmgxqqo49oqqwo/mens-pullover-size-chartsflint.jpg?rlkey=i4aa2uy9sj4l04bwwoh59so3f&amp;dl=0","Click to download SizeChart")</f>
      </c>
      <c r="C3801" s="0" t="inlineStr">
        <is>
          <t>Flint Men's 1/4 Zips</t>
        </is>
      </c>
      <c r="D3801" s="1">
        <v>164636</v>
      </c>
      <c r="E3801" s="0" t="inlineStr">
        <is>
          <t>IOWA FLINT M HG:164636E-2XL</t>
        </is>
      </c>
      <c r="F3801" s="2">
        <v>800164636080</v>
      </c>
      <c r="G3801" s="0" t="inlineStr">
        <is>
          <t>MENS</t>
        </is>
      </c>
      <c r="H3801" s="0" t="inlineStr">
        <is>
          <t>2XL</t>
        </is>
      </c>
      <c r="I3801" s="0">
        <v>46.99</v>
      </c>
      <c r="J3801" s="0">
        <v>58</v>
      </c>
    </row>
    <row r="3802" spans="1:10" customHeight="0">
      <c r="A3802" s="0">
        <f>HYPERLINK("https://dl.dropboxusercontent.com/scl/fi/zppbd078nbiwgbbk8oc5v/mock-iowa-flint-m-hg-v1-03.jpg?rlkey=pdpd16u5pkh606wzib1hld85x&amp;dl=0","Click to download Image")</f>
      </c>
      <c r="B3802" s="0">
        <f>HYPERLINK("https://dl.dropboxusercontent.com/scl/fi/weheexgtmgxqqo49oqqwo/mens-pullover-size-chartsflint.jpg?rlkey=i4aa2uy9sj4l04bwwoh59so3f&amp;dl=0","Click to download SizeChart")</f>
      </c>
      <c r="C3802" s="0" t="inlineStr">
        <is>
          <t>Flint Men's 1/4 Zips</t>
        </is>
      </c>
      <c r="D3802" s="1">
        <v>164636</v>
      </c>
      <c r="E3802" s="0" t="inlineStr">
        <is>
          <t>IOWA FLINT M HG:164636F-3XL</t>
        </is>
      </c>
      <c r="F3802" s="2">
        <v>800164636097</v>
      </c>
      <c r="G3802" s="0" t="inlineStr">
        <is>
          <t>MENS</t>
        </is>
      </c>
      <c r="H3802" s="0" t="inlineStr">
        <is>
          <t>3XL</t>
        </is>
      </c>
      <c r="I3802" s="0">
        <v>46.99</v>
      </c>
      <c r="J3802" s="0">
        <v>32</v>
      </c>
    </row>
    <row r="3803" spans="1:10" customHeight="0">
      <c r="A3803" s="0">
        <f>HYPERLINK("https://dl.dropboxusercontent.com/scl/fi/t5w559vmegfzzqrgc7sv5/mock-iowa-flint-m-hb-v1-03.jpg?rlkey=316gz8gyexzlmjkh3w429u7wa&amp;dl=0","Click to download Image")</f>
      </c>
      <c r="B3803" s="0">
        <f>HYPERLINK("https://dl.dropboxusercontent.com/scl/fi/weheexgtmgxqqo49oqqwo/mens-pullover-size-chartsflint.jpg?rlkey=i4aa2uy9sj4l04bwwoh59so3f&amp;dl=0","Click to download SizeChart")</f>
      </c>
      <c r="C3803" s="0" t="inlineStr">
        <is>
          <t>Flint Men's 1/4 Zips</t>
        </is>
      </c>
      <c r="D3803" s="1">
        <v>164637</v>
      </c>
      <c r="E3803" s="0" t="inlineStr">
        <is>
          <t>IOWA FLINT M HB:164637A-S</t>
        </is>
      </c>
      <c r="F3803" s="2">
        <v>800164637049</v>
      </c>
      <c r="G3803" s="0" t="inlineStr">
        <is>
          <t>MENS</t>
        </is>
      </c>
      <c r="H3803" s="0" t="inlineStr">
        <is>
          <t>S</t>
        </is>
      </c>
      <c r="I3803" s="0">
        <v>44.99</v>
      </c>
      <c r="J3803" s="0">
        <v>13</v>
      </c>
    </row>
    <row r="3804" spans="1:10" customHeight="0">
      <c r="A3804" s="0">
        <f>HYPERLINK("https://dl.dropboxusercontent.com/scl/fi/t5w559vmegfzzqrgc7sv5/mock-iowa-flint-m-hb-v1-03.jpg?rlkey=316gz8gyexzlmjkh3w429u7wa&amp;dl=0","Click to download Image")</f>
      </c>
      <c r="B3804" s="0">
        <f>HYPERLINK("https://dl.dropboxusercontent.com/scl/fi/weheexgtmgxqqo49oqqwo/mens-pullover-size-chartsflint.jpg?rlkey=i4aa2uy9sj4l04bwwoh59so3f&amp;dl=0","Click to download SizeChart")</f>
      </c>
      <c r="C3804" s="0" t="inlineStr">
        <is>
          <t>Flint Men's 1/4 Zips</t>
        </is>
      </c>
      <c r="D3804" s="1">
        <v>164637</v>
      </c>
      <c r="E3804" s="0" t="inlineStr">
        <is>
          <t>IOWA FLINT M HB:164637B-M</t>
        </is>
      </c>
      <c r="F3804" s="2">
        <v>800164637056</v>
      </c>
      <c r="G3804" s="0" t="inlineStr">
        <is>
          <t>MENS</t>
        </is>
      </c>
      <c r="H3804" s="0" t="inlineStr">
        <is>
          <t>M</t>
        </is>
      </c>
      <c r="I3804" s="0">
        <v>44.99</v>
      </c>
      <c r="J3804" s="0">
        <v>13</v>
      </c>
    </row>
    <row r="3805" spans="1:10" customHeight="0">
      <c r="A3805" s="0">
        <f>HYPERLINK("https://dl.dropboxusercontent.com/scl/fi/t5w559vmegfzzqrgc7sv5/mock-iowa-flint-m-hb-v1-03.jpg?rlkey=316gz8gyexzlmjkh3w429u7wa&amp;dl=0","Click to download Image")</f>
      </c>
      <c r="B3805" s="0">
        <f>HYPERLINK("https://dl.dropboxusercontent.com/scl/fi/weheexgtmgxqqo49oqqwo/mens-pullover-size-chartsflint.jpg?rlkey=i4aa2uy9sj4l04bwwoh59so3f&amp;dl=0","Click to download SizeChart")</f>
      </c>
      <c r="C3805" s="0" t="inlineStr">
        <is>
          <t>Flint Men's 1/4 Zips</t>
        </is>
      </c>
      <c r="D3805" s="1">
        <v>164637</v>
      </c>
      <c r="E3805" s="0" t="inlineStr">
        <is>
          <t>IOWA FLINT M HB:164637C-L</t>
        </is>
      </c>
      <c r="F3805" s="2">
        <v>800164637063</v>
      </c>
      <c r="G3805" s="0" t="inlineStr">
        <is>
          <t>MENS</t>
        </is>
      </c>
      <c r="H3805" s="0" t="inlineStr">
        <is>
          <t>L</t>
        </is>
      </c>
      <c r="I3805" s="0">
        <v>44.99</v>
      </c>
      <c r="J3805" s="0">
        <v>13</v>
      </c>
    </row>
    <row r="3806" spans="1:10" customHeight="0">
      <c r="A3806" s="0">
        <f>HYPERLINK("https://dl.dropboxusercontent.com/scl/fi/t5w559vmegfzzqrgc7sv5/mock-iowa-flint-m-hb-v1-03.jpg?rlkey=316gz8gyexzlmjkh3w429u7wa&amp;dl=0","Click to download Image")</f>
      </c>
      <c r="B3806" s="0">
        <f>HYPERLINK("https://dl.dropboxusercontent.com/scl/fi/weheexgtmgxqqo49oqqwo/mens-pullover-size-chartsflint.jpg?rlkey=i4aa2uy9sj4l04bwwoh59so3f&amp;dl=0","Click to download SizeChart")</f>
      </c>
      <c r="C3806" s="0" t="inlineStr">
        <is>
          <t>Flint Men's 1/4 Zips</t>
        </is>
      </c>
      <c r="D3806" s="1">
        <v>164637</v>
      </c>
      <c r="E3806" s="0" t="inlineStr">
        <is>
          <t>IOWA FLINT M HB:164637D-XL</t>
        </is>
      </c>
      <c r="F3806" s="2">
        <v>800164637070</v>
      </c>
      <c r="G3806" s="0" t="inlineStr">
        <is>
          <t>MENS</t>
        </is>
      </c>
      <c r="H3806" s="0" t="inlineStr">
        <is>
          <t>XL</t>
        </is>
      </c>
      <c r="I3806" s="0">
        <v>44.99</v>
      </c>
      <c r="J3806" s="0">
        <v>13</v>
      </c>
    </row>
    <row r="3807" spans="1:10" customHeight="0">
      <c r="A3807" s="0">
        <f>HYPERLINK("https://dl.dropboxusercontent.com/scl/fi/t5w559vmegfzzqrgc7sv5/mock-iowa-flint-m-hb-v1-03.jpg?rlkey=316gz8gyexzlmjkh3w429u7wa&amp;dl=0","Click to download Image")</f>
      </c>
      <c r="B3807" s="0">
        <f>HYPERLINK("https://dl.dropboxusercontent.com/scl/fi/weheexgtmgxqqo49oqqwo/mens-pullover-size-chartsflint.jpg?rlkey=i4aa2uy9sj4l04bwwoh59so3f&amp;dl=0","Click to download SizeChart")</f>
      </c>
      <c r="C3807" s="0" t="inlineStr">
        <is>
          <t>Flint Men's 1/4 Zips</t>
        </is>
      </c>
      <c r="D3807" s="1">
        <v>164637</v>
      </c>
      <c r="E3807" s="0" t="inlineStr">
        <is>
          <t>IOWA FLINT M HB:164637E-2XL</t>
        </is>
      </c>
      <c r="F3807" s="2">
        <v>800164637087</v>
      </c>
      <c r="G3807" s="0" t="inlineStr">
        <is>
          <t>MENS</t>
        </is>
      </c>
      <c r="H3807" s="0" t="inlineStr">
        <is>
          <t>2XL</t>
        </is>
      </c>
      <c r="I3807" s="0">
        <v>46.99</v>
      </c>
      <c r="J3807" s="0">
        <v>13</v>
      </c>
    </row>
    <row r="3808" spans="1:10" customHeight="0">
      <c r="A3808" s="0">
        <f>HYPERLINK("https://dl.dropboxusercontent.com/scl/fi/t5w559vmegfzzqrgc7sv5/mock-iowa-flint-m-hb-v1-03.jpg?rlkey=316gz8gyexzlmjkh3w429u7wa&amp;dl=0","Click to download Image")</f>
      </c>
      <c r="B3808" s="0">
        <f>HYPERLINK("https://dl.dropboxusercontent.com/scl/fi/weheexgtmgxqqo49oqqwo/mens-pullover-size-chartsflint.jpg?rlkey=i4aa2uy9sj4l04bwwoh59so3f&amp;dl=0","Click to download SizeChart")</f>
      </c>
      <c r="C3808" s="0" t="inlineStr">
        <is>
          <t>Flint Men's 1/4 Zips</t>
        </is>
      </c>
      <c r="D3808" s="1">
        <v>164637</v>
      </c>
      <c r="E3808" s="0" t="inlineStr">
        <is>
          <t>IOWA FLINT M HB:164637F-3XL</t>
        </is>
      </c>
      <c r="F3808" s="2">
        <v>800164637094</v>
      </c>
      <c r="G3808" s="0" t="inlineStr">
        <is>
          <t>MENS</t>
        </is>
      </c>
      <c r="H3808" s="0" t="inlineStr">
        <is>
          <t>3XL</t>
        </is>
      </c>
      <c r="I3808" s="0">
        <v>46.99</v>
      </c>
      <c r="J3808" s="0">
        <v>13</v>
      </c>
    </row>
    <row r="3809" spans="1:10" customHeight="0">
      <c r="A3809" s="0">
        <f>HYPERLINK("https://dl.dropboxusercontent.com/scl/fi/dhnxgn9tcc70sifnsev9p/bag-t2.jpg?rlkey=nuoj93jfsj18est66ipvfjdfi&amp;dl=0","Click to download Image")</f>
      </c>
      <c r="C3809" s="0" t="inlineStr">
        <is>
          <t>Assorted Bag Bundle</t>
        </is>
      </c>
      <c r="E3809" s="0" t="inlineStr">
        <is>
          <t>IOWA BAG</t>
        </is>
      </c>
      <c r="I3809" s="0">
        <v>720</v>
      </c>
      <c r="J3809" s="0">
        <v>0</v>
      </c>
    </row>
    <row r="3810" spans="1:10" customHeight="0">
      <c r="A3810" s="0">
        <f>HYPERLINK("https://dl.dropboxusercontent.com/scl/fi/gwppaawjhm2zdlru1w67o/screenshot-2025-07-28-at-12.40.10pm.png?rlkey=5nhbsrmtpv01gk2ub9x8honok&amp;dl=0","Click to download Image")</f>
      </c>
      <c r="B3810" s="0">
        <f>HYPERLINK("https://dl.dropboxusercontent.com/scl/fi/bllpah8cy0zanpi8j07b0/mens-t-shirt-size-chartsslate-cason.jpg?rlkey=x22hzgyz19wxufse3jyvxn9rx&amp;dl=0","Click to download SizeChart")</f>
      </c>
      <c r="C3810" s="0" t="inlineStr">
        <is>
          <t>Slate Men's Ultra-Soft T-Shirt</t>
        </is>
      </c>
      <c r="D3810" s="1">
        <v>159208</v>
      </c>
      <c r="E3810" s="0" t="inlineStr">
        <is>
          <t>IOWA SLATE M GD:159208A-S</t>
        </is>
      </c>
      <c r="F3810" s="2">
        <v>800159208049</v>
      </c>
      <c r="G3810" s="0" t="inlineStr">
        <is>
          <t>MENS</t>
        </is>
      </c>
      <c r="H3810" s="0" t="inlineStr">
        <is>
          <t>S</t>
        </is>
      </c>
      <c r="I3810" s="0">
        <v>29.99</v>
      </c>
      <c r="J3810" s="0">
        <v>38</v>
      </c>
    </row>
    <row r="3811" spans="1:10" customHeight="0">
      <c r="A3811" s="0">
        <f>HYPERLINK("https://dl.dropboxusercontent.com/scl/fi/gwppaawjhm2zdlru1w67o/screenshot-2025-07-28-at-12.40.10pm.png?rlkey=5nhbsrmtpv01gk2ub9x8honok&amp;dl=0","Click to download Image")</f>
      </c>
      <c r="B3811" s="0">
        <f>HYPERLINK("https://dl.dropboxusercontent.com/scl/fi/bllpah8cy0zanpi8j07b0/mens-t-shirt-size-chartsslate-cason.jpg?rlkey=x22hzgyz19wxufse3jyvxn9rx&amp;dl=0","Click to download SizeChart")</f>
      </c>
      <c r="C3811" s="0" t="inlineStr">
        <is>
          <t>Slate Men's Ultra-Soft T-Shirt</t>
        </is>
      </c>
      <c r="D3811" s="1">
        <v>159208</v>
      </c>
      <c r="E3811" s="0" t="inlineStr">
        <is>
          <t>IOWA SLATE M GD:159208B-M</t>
        </is>
      </c>
      <c r="F3811" s="2">
        <v>800159208056</v>
      </c>
      <c r="G3811" s="0" t="inlineStr">
        <is>
          <t>MENS</t>
        </is>
      </c>
      <c r="H3811" s="0" t="inlineStr">
        <is>
          <t>M</t>
        </is>
      </c>
      <c r="I3811" s="0">
        <v>29.99</v>
      </c>
      <c r="J3811" s="0">
        <v>38</v>
      </c>
    </row>
    <row r="3812" spans="1:10" customHeight="0">
      <c r="A3812" s="0">
        <f>HYPERLINK("https://dl.dropboxusercontent.com/scl/fi/gwppaawjhm2zdlru1w67o/screenshot-2025-07-28-at-12.40.10pm.png?rlkey=5nhbsrmtpv01gk2ub9x8honok&amp;dl=0","Click to download Image")</f>
      </c>
      <c r="B3812" s="0">
        <f>HYPERLINK("https://dl.dropboxusercontent.com/scl/fi/bllpah8cy0zanpi8j07b0/mens-t-shirt-size-chartsslate-cason.jpg?rlkey=x22hzgyz19wxufse3jyvxn9rx&amp;dl=0","Click to download SizeChart")</f>
      </c>
      <c r="C3812" s="0" t="inlineStr">
        <is>
          <t>Slate Men's Ultra-Soft T-Shirt</t>
        </is>
      </c>
      <c r="D3812" s="1">
        <v>159208</v>
      </c>
      <c r="E3812" s="0" t="inlineStr">
        <is>
          <t>IOWA SLATE M GD:159208C-L</t>
        </is>
      </c>
      <c r="F3812" s="2">
        <v>800159208063</v>
      </c>
      <c r="G3812" s="0" t="inlineStr">
        <is>
          <t>MENS</t>
        </is>
      </c>
      <c r="H3812" s="0" t="inlineStr">
        <is>
          <t>L</t>
        </is>
      </c>
      <c r="I3812" s="0">
        <v>29.99</v>
      </c>
      <c r="J3812" s="0">
        <v>38</v>
      </c>
    </row>
    <row r="3813" spans="1:10" customHeight="0">
      <c r="A3813" s="0">
        <f>HYPERLINK("https://dl.dropboxusercontent.com/scl/fi/gwppaawjhm2zdlru1w67o/screenshot-2025-07-28-at-12.40.10pm.png?rlkey=5nhbsrmtpv01gk2ub9x8honok&amp;dl=0","Click to download Image")</f>
      </c>
      <c r="B3813" s="0">
        <f>HYPERLINK("https://dl.dropboxusercontent.com/scl/fi/bllpah8cy0zanpi8j07b0/mens-t-shirt-size-chartsslate-cason.jpg?rlkey=x22hzgyz19wxufse3jyvxn9rx&amp;dl=0","Click to download SizeChart")</f>
      </c>
      <c r="C3813" s="0" t="inlineStr">
        <is>
          <t>Slate Men's Ultra-Soft T-Shirt</t>
        </is>
      </c>
      <c r="D3813" s="1">
        <v>159208</v>
      </c>
      <c r="E3813" s="0" t="inlineStr">
        <is>
          <t>IOWA SLATE M GD:159208D-XL</t>
        </is>
      </c>
      <c r="F3813" s="2">
        <v>800159208070</v>
      </c>
      <c r="G3813" s="0" t="inlineStr">
        <is>
          <t>MENS</t>
        </is>
      </c>
      <c r="H3813" s="0" t="inlineStr">
        <is>
          <t>XL</t>
        </is>
      </c>
      <c r="I3813" s="0">
        <v>29.99</v>
      </c>
      <c r="J3813" s="0">
        <v>38</v>
      </c>
    </row>
    <row r="3814" spans="1:10" customHeight="0">
      <c r="A3814" s="0">
        <f>HYPERLINK("https://dl.dropboxusercontent.com/scl/fi/gwppaawjhm2zdlru1w67o/screenshot-2025-07-28-at-12.40.10pm.png?rlkey=5nhbsrmtpv01gk2ub9x8honok&amp;dl=0","Click to download Image")</f>
      </c>
      <c r="B3814" s="0">
        <f>HYPERLINK("https://dl.dropboxusercontent.com/scl/fi/bllpah8cy0zanpi8j07b0/mens-t-shirt-size-chartsslate-cason.jpg?rlkey=x22hzgyz19wxufse3jyvxn9rx&amp;dl=0","Click to download SizeChart")</f>
      </c>
      <c r="C3814" s="0" t="inlineStr">
        <is>
          <t>Slate Men's Ultra-Soft T-Shirt</t>
        </is>
      </c>
      <c r="D3814" s="1">
        <v>159208</v>
      </c>
      <c r="E3814" s="0" t="inlineStr">
        <is>
          <t>IOWA SLATE M GD:159208E-2XL</t>
        </is>
      </c>
      <c r="F3814" s="2">
        <v>800159208087</v>
      </c>
      <c r="G3814" s="0" t="inlineStr">
        <is>
          <t>MENS</t>
        </is>
      </c>
      <c r="H3814" s="0" t="inlineStr">
        <is>
          <t>2XL</t>
        </is>
      </c>
      <c r="I3814" s="0">
        <v>31.99</v>
      </c>
      <c r="J3814" s="0">
        <v>38</v>
      </c>
    </row>
    <row r="3815" spans="1:10" customHeight="0">
      <c r="A3815" s="0">
        <f>HYPERLINK("https://dl.dropboxusercontent.com/scl/fi/gwppaawjhm2zdlru1w67o/screenshot-2025-07-28-at-12.40.10pm.png?rlkey=5nhbsrmtpv01gk2ub9x8honok&amp;dl=0","Click to download Image")</f>
      </c>
      <c r="B3815" s="0">
        <f>HYPERLINK("https://dl.dropboxusercontent.com/scl/fi/bllpah8cy0zanpi8j07b0/mens-t-shirt-size-chartsslate-cason.jpg?rlkey=x22hzgyz19wxufse3jyvxn9rx&amp;dl=0","Click to download SizeChart")</f>
      </c>
      <c r="C3815" s="0" t="inlineStr">
        <is>
          <t>Slate Men's Ultra-Soft T-Shirt</t>
        </is>
      </c>
      <c r="D3815" s="1">
        <v>159208</v>
      </c>
      <c r="E3815" s="0" t="inlineStr">
        <is>
          <t>IOWA SLATE M GD:159208F-3XL</t>
        </is>
      </c>
      <c r="F3815" s="2">
        <v>800159208094</v>
      </c>
      <c r="G3815" s="0" t="inlineStr">
        <is>
          <t>MENS</t>
        </is>
      </c>
      <c r="H3815" s="0" t="inlineStr">
        <is>
          <t>3XL</t>
        </is>
      </c>
      <c r="I3815" s="0">
        <v>31.99</v>
      </c>
      <c r="J3815" s="0">
        <v>38</v>
      </c>
    </row>
    <row r="3816" spans="1:10" customHeight="0">
      <c r="A3816" s="0">
        <f>HYPERLINK("https://dl.dropboxusercontent.com/scl/fi/sdtyuzr0m4nekiif7xmn1/screenshot-2025-07-28-at-12.46.17pm.png?rlkey=uye7dxuogd59ml4uljf5xv0l1&amp;dl=0","Click to download Image")</f>
      </c>
      <c r="B3816" s="0">
        <f>HYPERLINK("https://dl.dropboxusercontent.com/scl/fi/bllpah8cy0zanpi8j07b0/mens-t-shirt-size-chartsslate-cason.jpg?rlkey=x22hzgyz19wxufse3jyvxn9rx&amp;dl=0","Click to download SizeChart")</f>
      </c>
      <c r="C3816" s="0" t="inlineStr">
        <is>
          <t>Slate Men's Ultra-Soft T-Shirt</t>
        </is>
      </c>
      <c r="D3816" s="1">
        <v>159209</v>
      </c>
      <c r="E3816" s="0" t="inlineStr">
        <is>
          <t>IOWA SLATE M BK:159209A-S</t>
        </is>
      </c>
      <c r="F3816" s="2">
        <v>800159209046</v>
      </c>
      <c r="G3816" s="0" t="inlineStr">
        <is>
          <t>MENS</t>
        </is>
      </c>
      <c r="H3816" s="0" t="inlineStr">
        <is>
          <t>S</t>
        </is>
      </c>
      <c r="I3816" s="0">
        <v>29.99</v>
      </c>
      <c r="J3816" s="0">
        <v>196</v>
      </c>
    </row>
    <row r="3817" spans="1:10" customHeight="0">
      <c r="A3817" s="0">
        <f>HYPERLINK("https://dl.dropboxusercontent.com/scl/fi/sdtyuzr0m4nekiif7xmn1/screenshot-2025-07-28-at-12.46.17pm.png?rlkey=uye7dxuogd59ml4uljf5xv0l1&amp;dl=0","Click to download Image")</f>
      </c>
      <c r="B3817" s="0">
        <f>HYPERLINK("https://dl.dropboxusercontent.com/scl/fi/bllpah8cy0zanpi8j07b0/mens-t-shirt-size-chartsslate-cason.jpg?rlkey=x22hzgyz19wxufse3jyvxn9rx&amp;dl=0","Click to download SizeChart")</f>
      </c>
      <c r="C3817" s="0" t="inlineStr">
        <is>
          <t>Slate Men's Ultra-Soft T-Shirt</t>
        </is>
      </c>
      <c r="D3817" s="1">
        <v>159209</v>
      </c>
      <c r="E3817" s="0" t="inlineStr">
        <is>
          <t>IOWA SLATE M BK:159209B-M</t>
        </is>
      </c>
      <c r="F3817" s="2">
        <v>800159209053</v>
      </c>
      <c r="G3817" s="0" t="inlineStr">
        <is>
          <t>MENS</t>
        </is>
      </c>
      <c r="H3817" s="0" t="inlineStr">
        <is>
          <t>M</t>
        </is>
      </c>
      <c r="I3817" s="0">
        <v>29.99</v>
      </c>
      <c r="J3817" s="0">
        <v>196</v>
      </c>
    </row>
    <row r="3818" spans="1:10" customHeight="0">
      <c r="A3818" s="0">
        <f>HYPERLINK("https://dl.dropboxusercontent.com/scl/fi/sdtyuzr0m4nekiif7xmn1/screenshot-2025-07-28-at-12.46.17pm.png?rlkey=uye7dxuogd59ml4uljf5xv0l1&amp;dl=0","Click to download Image")</f>
      </c>
      <c r="B3818" s="0">
        <f>HYPERLINK("https://dl.dropboxusercontent.com/scl/fi/bllpah8cy0zanpi8j07b0/mens-t-shirt-size-chartsslate-cason.jpg?rlkey=x22hzgyz19wxufse3jyvxn9rx&amp;dl=0","Click to download SizeChart")</f>
      </c>
      <c r="C3818" s="0" t="inlineStr">
        <is>
          <t>Slate Men's Ultra-Soft T-Shirt</t>
        </is>
      </c>
      <c r="D3818" s="1">
        <v>159209</v>
      </c>
      <c r="E3818" s="0" t="inlineStr">
        <is>
          <t>IOWA SLATE M BK:159209C-L</t>
        </is>
      </c>
      <c r="F3818" s="2">
        <v>800159209060</v>
      </c>
      <c r="G3818" s="0" t="inlineStr">
        <is>
          <t>MENS</t>
        </is>
      </c>
      <c r="H3818" s="0" t="inlineStr">
        <is>
          <t>L</t>
        </is>
      </c>
      <c r="I3818" s="0">
        <v>29.99</v>
      </c>
      <c r="J3818" s="0">
        <v>196</v>
      </c>
    </row>
    <row r="3819" spans="1:10" customHeight="0">
      <c r="A3819" s="0">
        <f>HYPERLINK("https://dl.dropboxusercontent.com/scl/fi/sdtyuzr0m4nekiif7xmn1/screenshot-2025-07-28-at-12.46.17pm.png?rlkey=uye7dxuogd59ml4uljf5xv0l1&amp;dl=0","Click to download Image")</f>
      </c>
      <c r="B3819" s="0">
        <f>HYPERLINK("https://dl.dropboxusercontent.com/scl/fi/bllpah8cy0zanpi8j07b0/mens-t-shirt-size-chartsslate-cason.jpg?rlkey=x22hzgyz19wxufse3jyvxn9rx&amp;dl=0","Click to download SizeChart")</f>
      </c>
      <c r="C3819" s="0" t="inlineStr">
        <is>
          <t>Slate Men's Ultra-Soft T-Shirt</t>
        </is>
      </c>
      <c r="D3819" s="1">
        <v>159209</v>
      </c>
      <c r="E3819" s="0" t="inlineStr">
        <is>
          <t>IOWA SLATE M BK:159209D-XL</t>
        </is>
      </c>
      <c r="F3819" s="2">
        <v>800159209077</v>
      </c>
      <c r="G3819" s="0" t="inlineStr">
        <is>
          <t>MENS</t>
        </is>
      </c>
      <c r="H3819" s="0" t="inlineStr">
        <is>
          <t>XL</t>
        </is>
      </c>
      <c r="I3819" s="0">
        <v>29.99</v>
      </c>
      <c r="J3819" s="0">
        <v>196</v>
      </c>
    </row>
    <row r="3820" spans="1:10" customHeight="0">
      <c r="A3820" s="0">
        <f>HYPERLINK("https://dl.dropboxusercontent.com/scl/fi/sdtyuzr0m4nekiif7xmn1/screenshot-2025-07-28-at-12.46.17pm.png?rlkey=uye7dxuogd59ml4uljf5xv0l1&amp;dl=0","Click to download Image")</f>
      </c>
      <c r="B3820" s="0">
        <f>HYPERLINK("https://dl.dropboxusercontent.com/scl/fi/bllpah8cy0zanpi8j07b0/mens-t-shirt-size-chartsslate-cason.jpg?rlkey=x22hzgyz19wxufse3jyvxn9rx&amp;dl=0","Click to download SizeChart")</f>
      </c>
      <c r="C3820" s="0" t="inlineStr">
        <is>
          <t>Slate Men's Ultra-Soft T-Shirt</t>
        </is>
      </c>
      <c r="D3820" s="1">
        <v>159209</v>
      </c>
      <c r="E3820" s="0" t="inlineStr">
        <is>
          <t>IOWA SLATE M BK:159209E-2XL</t>
        </is>
      </c>
      <c r="F3820" s="2">
        <v>800159209084</v>
      </c>
      <c r="G3820" s="0" t="inlineStr">
        <is>
          <t>MENS</t>
        </is>
      </c>
      <c r="H3820" s="0" t="inlineStr">
        <is>
          <t>2XL</t>
        </is>
      </c>
      <c r="I3820" s="0">
        <v>31.99</v>
      </c>
      <c r="J3820" s="0">
        <v>182</v>
      </c>
    </row>
    <row r="3821" spans="1:10" customHeight="0">
      <c r="A3821" s="0">
        <f>HYPERLINK("https://dl.dropboxusercontent.com/scl/fi/sdtyuzr0m4nekiif7xmn1/screenshot-2025-07-28-at-12.46.17pm.png?rlkey=uye7dxuogd59ml4uljf5xv0l1&amp;dl=0","Click to download Image")</f>
      </c>
      <c r="B3821" s="0">
        <f>HYPERLINK("https://dl.dropboxusercontent.com/scl/fi/bllpah8cy0zanpi8j07b0/mens-t-shirt-size-chartsslate-cason.jpg?rlkey=x22hzgyz19wxufse3jyvxn9rx&amp;dl=0","Click to download SizeChart")</f>
      </c>
      <c r="C3821" s="0" t="inlineStr">
        <is>
          <t>Slate Men's Ultra-Soft T-Shirt</t>
        </is>
      </c>
      <c r="D3821" s="1">
        <v>159209</v>
      </c>
      <c r="E3821" s="0" t="inlineStr">
        <is>
          <t>IOWA SLATE M BK:159209F-3XL</t>
        </is>
      </c>
      <c r="F3821" s="2">
        <v>800159209091</v>
      </c>
      <c r="G3821" s="0" t="inlineStr">
        <is>
          <t>MENS</t>
        </is>
      </c>
      <c r="H3821" s="0" t="inlineStr">
        <is>
          <t>3XL</t>
        </is>
      </c>
      <c r="I3821" s="0">
        <v>31.99</v>
      </c>
      <c r="J3821" s="0">
        <v>127</v>
      </c>
    </row>
    <row r="3822" spans="1:10" customHeight="0">
      <c r="A3822" s="0">
        <f>HYPERLINK("https://dl.dropboxusercontent.com/scl/fi/rxisjzyrklepq6r2yehr1/screenshot-2025-07-28-at-1.18.41pm.png?rlkey=le40cv2b7e3lc5fgoe05mgle5&amp;dl=0","Click to download Image")</f>
      </c>
      <c r="B3822" s="0">
        <f>HYPERLINK("https://dl.dropboxusercontent.com/scl/fi/bllpah8cy0zanpi8j07b0/mens-t-shirt-size-chartsslate-cason.jpg?rlkey=x22hzgyz19wxufse3jyvxn9rx&amp;dl=0","Click to download SizeChart")</f>
      </c>
      <c r="C3822" s="0" t="inlineStr">
        <is>
          <t>Slate Men's Ultra-Soft T-Shirt</t>
        </is>
      </c>
      <c r="D3822" s="1">
        <v>159207</v>
      </c>
      <c r="E3822" s="0" t="inlineStr">
        <is>
          <t>IOWA SLATE M WE:159207A-S</t>
        </is>
      </c>
      <c r="F3822" s="2">
        <v>800159207042</v>
      </c>
      <c r="G3822" s="0" t="inlineStr">
        <is>
          <t>MENS</t>
        </is>
      </c>
      <c r="H3822" s="0" t="inlineStr">
        <is>
          <t>S</t>
        </is>
      </c>
      <c r="I3822" s="0">
        <v>29.99</v>
      </c>
      <c r="J3822" s="0">
        <v>110</v>
      </c>
    </row>
    <row r="3823" spans="1:10" customHeight="0">
      <c r="A3823" s="0">
        <f>HYPERLINK("https://dl.dropboxusercontent.com/scl/fi/rxisjzyrklepq6r2yehr1/screenshot-2025-07-28-at-1.18.41pm.png?rlkey=le40cv2b7e3lc5fgoe05mgle5&amp;dl=0","Click to download Image")</f>
      </c>
      <c r="B3823" s="0">
        <f>HYPERLINK("https://dl.dropboxusercontent.com/scl/fi/bllpah8cy0zanpi8j07b0/mens-t-shirt-size-chartsslate-cason.jpg?rlkey=x22hzgyz19wxufse3jyvxn9rx&amp;dl=0","Click to download SizeChart")</f>
      </c>
      <c r="C3823" s="0" t="inlineStr">
        <is>
          <t>Slate Men's Ultra-Soft T-Shirt</t>
        </is>
      </c>
      <c r="D3823" s="1">
        <v>159207</v>
      </c>
      <c r="E3823" s="0" t="inlineStr">
        <is>
          <t>IOWA SLATE M WE:159207B-M</t>
        </is>
      </c>
      <c r="F3823" s="2">
        <v>800159207059</v>
      </c>
      <c r="G3823" s="0" t="inlineStr">
        <is>
          <t>MENS</t>
        </is>
      </c>
      <c r="H3823" s="0" t="inlineStr">
        <is>
          <t>M</t>
        </is>
      </c>
      <c r="I3823" s="0">
        <v>29.99</v>
      </c>
      <c r="J3823" s="0">
        <v>262</v>
      </c>
    </row>
    <row r="3824" spans="1:10" customHeight="0">
      <c r="A3824" s="0">
        <f>HYPERLINK("https://dl.dropboxusercontent.com/scl/fi/rxisjzyrklepq6r2yehr1/screenshot-2025-07-28-at-1.18.41pm.png?rlkey=le40cv2b7e3lc5fgoe05mgle5&amp;dl=0","Click to download Image")</f>
      </c>
      <c r="B3824" s="0">
        <f>HYPERLINK("https://dl.dropboxusercontent.com/scl/fi/bllpah8cy0zanpi8j07b0/mens-t-shirt-size-chartsslate-cason.jpg?rlkey=x22hzgyz19wxufse3jyvxn9rx&amp;dl=0","Click to download SizeChart")</f>
      </c>
      <c r="C3824" s="0" t="inlineStr">
        <is>
          <t>Slate Men's Ultra-Soft T-Shirt</t>
        </is>
      </c>
      <c r="D3824" s="1">
        <v>159207</v>
      </c>
      <c r="E3824" s="0" t="inlineStr">
        <is>
          <t>IOWA SLATE M WE:159207C-L</t>
        </is>
      </c>
      <c r="F3824" s="2">
        <v>800159207066</v>
      </c>
      <c r="G3824" s="0" t="inlineStr">
        <is>
          <t>MENS</t>
        </is>
      </c>
      <c r="H3824" s="0" t="inlineStr">
        <is>
          <t>L</t>
        </is>
      </c>
      <c r="I3824" s="0">
        <v>29.99</v>
      </c>
      <c r="J3824" s="0">
        <v>262</v>
      </c>
    </row>
    <row r="3825" spans="1:10" customHeight="0">
      <c r="A3825" s="0">
        <f>HYPERLINK("https://dl.dropboxusercontent.com/scl/fi/rxisjzyrklepq6r2yehr1/screenshot-2025-07-28-at-1.18.41pm.png?rlkey=le40cv2b7e3lc5fgoe05mgle5&amp;dl=0","Click to download Image")</f>
      </c>
      <c r="B3825" s="0">
        <f>HYPERLINK("https://dl.dropboxusercontent.com/scl/fi/bllpah8cy0zanpi8j07b0/mens-t-shirt-size-chartsslate-cason.jpg?rlkey=x22hzgyz19wxufse3jyvxn9rx&amp;dl=0","Click to download SizeChart")</f>
      </c>
      <c r="C3825" s="0" t="inlineStr">
        <is>
          <t>Slate Men's Ultra-Soft T-Shirt</t>
        </is>
      </c>
      <c r="D3825" s="1">
        <v>159207</v>
      </c>
      <c r="E3825" s="0" t="inlineStr">
        <is>
          <t>IOWA SLATE M WE:159207D-XL</t>
        </is>
      </c>
      <c r="F3825" s="2">
        <v>800159207073</v>
      </c>
      <c r="G3825" s="0" t="inlineStr">
        <is>
          <t>MENS</t>
        </is>
      </c>
      <c r="H3825" s="0" t="inlineStr">
        <is>
          <t>XL</t>
        </is>
      </c>
      <c r="I3825" s="0">
        <v>29.99</v>
      </c>
      <c r="J3825" s="0">
        <v>141</v>
      </c>
    </row>
    <row r="3826" spans="1:10" customHeight="0">
      <c r="A3826" s="0">
        <f>HYPERLINK("https://dl.dropboxusercontent.com/scl/fi/rxisjzyrklepq6r2yehr1/screenshot-2025-07-28-at-1.18.41pm.png?rlkey=le40cv2b7e3lc5fgoe05mgle5&amp;dl=0","Click to download Image")</f>
      </c>
      <c r="B3826" s="0">
        <f>HYPERLINK("https://dl.dropboxusercontent.com/scl/fi/bllpah8cy0zanpi8j07b0/mens-t-shirt-size-chartsslate-cason.jpg?rlkey=x22hzgyz19wxufse3jyvxn9rx&amp;dl=0","Click to download SizeChart")</f>
      </c>
      <c r="C3826" s="0" t="inlineStr">
        <is>
          <t>Slate Men's Ultra-Soft T-Shirt</t>
        </is>
      </c>
      <c r="D3826" s="1">
        <v>159207</v>
      </c>
      <c r="E3826" s="0" t="inlineStr">
        <is>
          <t>IOWA SLATE M WE:159207E-2XL</t>
        </is>
      </c>
      <c r="F3826" s="2">
        <v>800159207080</v>
      </c>
      <c r="G3826" s="0" t="inlineStr">
        <is>
          <t>MENS</t>
        </is>
      </c>
      <c r="H3826" s="0" t="inlineStr">
        <is>
          <t>2XL</t>
        </is>
      </c>
      <c r="I3826" s="0">
        <v>31.99</v>
      </c>
      <c r="J3826" s="0">
        <v>205</v>
      </c>
    </row>
    <row r="3827" spans="1:10" customHeight="0">
      <c r="A3827" s="0">
        <f>HYPERLINK("https://dl.dropboxusercontent.com/scl/fi/rxisjzyrklepq6r2yehr1/screenshot-2025-07-28-at-1.18.41pm.png?rlkey=le40cv2b7e3lc5fgoe05mgle5&amp;dl=0","Click to download Image")</f>
      </c>
      <c r="B3827" s="0">
        <f>HYPERLINK("https://dl.dropboxusercontent.com/scl/fi/bllpah8cy0zanpi8j07b0/mens-t-shirt-size-chartsslate-cason.jpg?rlkey=x22hzgyz19wxufse3jyvxn9rx&amp;dl=0","Click to download SizeChart")</f>
      </c>
      <c r="C3827" s="0" t="inlineStr">
        <is>
          <t>Slate Men's Ultra-Soft T-Shirt</t>
        </is>
      </c>
      <c r="D3827" s="1">
        <v>159207</v>
      </c>
      <c r="E3827" s="0" t="inlineStr">
        <is>
          <t>IOWA SLATE M WE:159207F-3XL</t>
        </is>
      </c>
      <c r="F3827" s="2">
        <v>800159207097</v>
      </c>
      <c r="G3827" s="0" t="inlineStr">
        <is>
          <t>MENS</t>
        </is>
      </c>
      <c r="H3827" s="0" t="inlineStr">
        <is>
          <t>3XL</t>
        </is>
      </c>
      <c r="I3827" s="0">
        <v>31.99</v>
      </c>
      <c r="J3827" s="0">
        <v>110</v>
      </c>
    </row>
    <row r="3828" spans="1:10" customHeight="0">
      <c r="A3828" s="0">
        <f>HYPERLINK("https://dl.dropboxusercontent.com/scl/fi/6fsm0hvllnrkuq6uz3xjz/screenshot-2025-07-28-at-1.18.21pm.png?rlkey=wysih700j2g3e51kv5n8e54zf&amp;dl=0","Click to download Image")</f>
      </c>
      <c r="B3828" s="0">
        <f>HYPERLINK("https://dl.dropboxusercontent.com/scl/fi/bllpah8cy0zanpi8j07b0/mens-t-shirt-size-chartsslate-cason.jpg?rlkey=x22hzgyz19wxufse3jyvxn9rx&amp;dl=0","Click to download SizeChart")</f>
      </c>
      <c r="C3828" s="0" t="inlineStr">
        <is>
          <t>Slate Men's Ultra-Soft T-Shirt</t>
        </is>
      </c>
      <c r="D3828" s="1">
        <v>159230</v>
      </c>
      <c r="E3828" s="0" t="inlineStr">
        <is>
          <t>IOWA SLATE M GY:159230A-S</t>
        </is>
      </c>
      <c r="F3828" s="2">
        <v>800159230040</v>
      </c>
      <c r="G3828" s="0" t="inlineStr">
        <is>
          <t>MENS</t>
        </is>
      </c>
      <c r="H3828" s="0" t="inlineStr">
        <is>
          <t>S</t>
        </is>
      </c>
      <c r="I3828" s="0">
        <v>29.99</v>
      </c>
      <c r="J3828" s="0">
        <v>44</v>
      </c>
    </row>
    <row r="3829" spans="1:10" customHeight="0">
      <c r="A3829" s="0">
        <f>HYPERLINK("https://dl.dropboxusercontent.com/scl/fi/6fsm0hvllnrkuq6uz3xjz/screenshot-2025-07-28-at-1.18.21pm.png?rlkey=wysih700j2g3e51kv5n8e54zf&amp;dl=0","Click to download Image")</f>
      </c>
      <c r="B3829" s="0">
        <f>HYPERLINK("https://dl.dropboxusercontent.com/scl/fi/bllpah8cy0zanpi8j07b0/mens-t-shirt-size-chartsslate-cason.jpg?rlkey=x22hzgyz19wxufse3jyvxn9rx&amp;dl=0","Click to download SizeChart")</f>
      </c>
      <c r="C3829" s="0" t="inlineStr">
        <is>
          <t>Slate Men's Ultra-Soft T-Shirt</t>
        </is>
      </c>
      <c r="D3829" s="1">
        <v>159230</v>
      </c>
      <c r="E3829" s="0" t="inlineStr">
        <is>
          <t>IOWA SLATE M GY:159230B-M</t>
        </is>
      </c>
      <c r="F3829" s="2">
        <v>800159230057</v>
      </c>
      <c r="G3829" s="0" t="inlineStr">
        <is>
          <t>MENS</t>
        </is>
      </c>
      <c r="H3829" s="0" t="inlineStr">
        <is>
          <t>M</t>
        </is>
      </c>
      <c r="I3829" s="0">
        <v>29.99</v>
      </c>
      <c r="J3829" s="0">
        <v>88</v>
      </c>
    </row>
    <row r="3830" spans="1:10" customHeight="0">
      <c r="A3830" s="0">
        <f>HYPERLINK("https://dl.dropboxusercontent.com/scl/fi/6fsm0hvllnrkuq6uz3xjz/screenshot-2025-07-28-at-1.18.21pm.png?rlkey=wysih700j2g3e51kv5n8e54zf&amp;dl=0","Click to download Image")</f>
      </c>
      <c r="B3830" s="0">
        <f>HYPERLINK("https://dl.dropboxusercontent.com/scl/fi/bllpah8cy0zanpi8j07b0/mens-t-shirt-size-chartsslate-cason.jpg?rlkey=x22hzgyz19wxufse3jyvxn9rx&amp;dl=0","Click to download SizeChart")</f>
      </c>
      <c r="C3830" s="0" t="inlineStr">
        <is>
          <t>Slate Men's Ultra-Soft T-Shirt</t>
        </is>
      </c>
      <c r="D3830" s="1">
        <v>159230</v>
      </c>
      <c r="E3830" s="0" t="inlineStr">
        <is>
          <t>IOWA SLATE M GY:159230C-L</t>
        </is>
      </c>
      <c r="F3830" s="2">
        <v>800159230064</v>
      </c>
      <c r="G3830" s="0" t="inlineStr">
        <is>
          <t>MENS</t>
        </is>
      </c>
      <c r="H3830" s="0" t="inlineStr">
        <is>
          <t>L</t>
        </is>
      </c>
      <c r="I3830" s="0">
        <v>29.99</v>
      </c>
      <c r="J3830" s="0">
        <v>94</v>
      </c>
    </row>
    <row r="3831" spans="1:10" customHeight="0">
      <c r="A3831" s="0">
        <f>HYPERLINK("https://dl.dropboxusercontent.com/scl/fi/6fsm0hvllnrkuq6uz3xjz/screenshot-2025-07-28-at-1.18.21pm.png?rlkey=wysih700j2g3e51kv5n8e54zf&amp;dl=0","Click to download Image")</f>
      </c>
      <c r="B3831" s="0">
        <f>HYPERLINK("https://dl.dropboxusercontent.com/scl/fi/bllpah8cy0zanpi8j07b0/mens-t-shirt-size-chartsslate-cason.jpg?rlkey=x22hzgyz19wxufse3jyvxn9rx&amp;dl=0","Click to download SizeChart")</f>
      </c>
      <c r="C3831" s="0" t="inlineStr">
        <is>
          <t>Slate Men's Ultra-Soft T-Shirt</t>
        </is>
      </c>
      <c r="D3831" s="1">
        <v>159230</v>
      </c>
      <c r="E3831" s="0" t="inlineStr">
        <is>
          <t>IOWA SLATE M GY:159230D-XL</t>
        </is>
      </c>
      <c r="F3831" s="2">
        <v>800159230071</v>
      </c>
      <c r="G3831" s="0" t="inlineStr">
        <is>
          <t>MENS</t>
        </is>
      </c>
      <c r="H3831" s="0" t="inlineStr">
        <is>
          <t>XL</t>
        </is>
      </c>
      <c r="I3831" s="0">
        <v>29.99</v>
      </c>
      <c r="J3831" s="0">
        <v>94</v>
      </c>
    </row>
    <row r="3832" spans="1:10" customHeight="0">
      <c r="A3832" s="0">
        <f>HYPERLINK("https://dl.dropboxusercontent.com/scl/fi/6fsm0hvllnrkuq6uz3xjz/screenshot-2025-07-28-at-1.18.21pm.png?rlkey=wysih700j2g3e51kv5n8e54zf&amp;dl=0","Click to download Image")</f>
      </c>
      <c r="B3832" s="0">
        <f>HYPERLINK("https://dl.dropboxusercontent.com/scl/fi/bllpah8cy0zanpi8j07b0/mens-t-shirt-size-chartsslate-cason.jpg?rlkey=x22hzgyz19wxufse3jyvxn9rx&amp;dl=0","Click to download SizeChart")</f>
      </c>
      <c r="C3832" s="0" t="inlineStr">
        <is>
          <t>Slate Men's Ultra-Soft T-Shirt</t>
        </is>
      </c>
      <c r="D3832" s="1">
        <v>159230</v>
      </c>
      <c r="E3832" s="0" t="inlineStr">
        <is>
          <t>IOWA SLATE M GY:159230E-2XL</t>
        </is>
      </c>
      <c r="F3832" s="2">
        <v>800159230088</v>
      </c>
      <c r="G3832" s="0" t="inlineStr">
        <is>
          <t>MENS</t>
        </is>
      </c>
      <c r="H3832" s="0" t="inlineStr">
        <is>
          <t>2XL</t>
        </is>
      </c>
      <c r="I3832" s="0">
        <v>31.99</v>
      </c>
      <c r="J3832" s="0">
        <v>94</v>
      </c>
    </row>
    <row r="3833" spans="1:10" customHeight="0">
      <c r="A3833" s="0">
        <f>HYPERLINK("https://dl.dropboxusercontent.com/scl/fi/6fsm0hvllnrkuq6uz3xjz/screenshot-2025-07-28-at-1.18.21pm.png?rlkey=wysih700j2g3e51kv5n8e54zf&amp;dl=0","Click to download Image")</f>
      </c>
      <c r="B3833" s="0">
        <f>HYPERLINK("https://dl.dropboxusercontent.com/scl/fi/bllpah8cy0zanpi8j07b0/mens-t-shirt-size-chartsslate-cason.jpg?rlkey=x22hzgyz19wxufse3jyvxn9rx&amp;dl=0","Click to download SizeChart")</f>
      </c>
      <c r="C3833" s="0" t="inlineStr">
        <is>
          <t>Slate Men's Ultra-Soft T-Shirt</t>
        </is>
      </c>
      <c r="D3833" s="1">
        <v>159230</v>
      </c>
      <c r="E3833" s="0" t="inlineStr">
        <is>
          <t>IOWA SLATE M GY:159230F-3XL</t>
        </is>
      </c>
      <c r="F3833" s="2">
        <v>800159230095</v>
      </c>
      <c r="G3833" s="0" t="inlineStr">
        <is>
          <t>MENS</t>
        </is>
      </c>
      <c r="H3833" s="0" t="inlineStr">
        <is>
          <t>3XL</t>
        </is>
      </c>
      <c r="I3833" s="0">
        <v>31.99</v>
      </c>
      <c r="J3833" s="0">
        <v>54</v>
      </c>
    </row>
    <row r="3834" spans="1:10" customHeight="0">
      <c r="A3834" s="0">
        <f>HYPERLINK("https://dl.dropboxusercontent.com/scl/fi/ib4gfrlwrwur6j7g7ltzw/mock-162048-iowa-slate-m-bk-v1-02.jpg?rlkey=ek66kbpwen2npa751phc74mc5&amp;dl=0","Click to download Image")</f>
      </c>
      <c r="B3834" s="0">
        <f>HYPERLINK("https://dl.dropboxusercontent.com/scl/fi/bllpah8cy0zanpi8j07b0/mens-t-shirt-size-chartsslate-cason.jpg?rlkey=x22hzgyz19wxufse3jyvxn9rx&amp;dl=0","Click to download SizeChart")</f>
      </c>
      <c r="C3834" s="0" t="inlineStr">
        <is>
          <t>Slate Men's Ultra-Soft T-Shirt</t>
        </is>
      </c>
      <c r="D3834" s="1">
        <v>162048</v>
      </c>
      <c r="E3834" s="0" t="inlineStr">
        <is>
          <t>IOWA SLATE M BK:162048A-S</t>
        </is>
      </c>
      <c r="F3834" s="2">
        <v>800162048045</v>
      </c>
      <c r="G3834" s="0" t="inlineStr">
        <is>
          <t>MENS</t>
        </is>
      </c>
      <c r="H3834" s="0" t="inlineStr">
        <is>
          <t>S</t>
        </is>
      </c>
      <c r="I3834" s="0">
        <v>29.99</v>
      </c>
      <c r="J3834" s="0">
        <v>283</v>
      </c>
    </row>
    <row r="3835" spans="1:10" customHeight="0">
      <c r="A3835" s="0">
        <f>HYPERLINK("https://dl.dropboxusercontent.com/scl/fi/ib4gfrlwrwur6j7g7ltzw/mock-162048-iowa-slate-m-bk-v1-02.jpg?rlkey=ek66kbpwen2npa751phc74mc5&amp;dl=0","Click to download Image")</f>
      </c>
      <c r="B3835" s="0">
        <f>HYPERLINK("https://dl.dropboxusercontent.com/scl/fi/bllpah8cy0zanpi8j07b0/mens-t-shirt-size-chartsslate-cason.jpg?rlkey=x22hzgyz19wxufse3jyvxn9rx&amp;dl=0","Click to download SizeChart")</f>
      </c>
      <c r="C3835" s="0" t="inlineStr">
        <is>
          <t>Slate Men's Ultra-Soft T-Shirt</t>
        </is>
      </c>
      <c r="D3835" s="1">
        <v>162048</v>
      </c>
      <c r="E3835" s="0" t="inlineStr">
        <is>
          <t>IOWA SLATE M BK:162048B-M</t>
        </is>
      </c>
      <c r="F3835" s="2">
        <v>800162048052</v>
      </c>
      <c r="G3835" s="0" t="inlineStr">
        <is>
          <t>MENS</t>
        </is>
      </c>
      <c r="H3835" s="0" t="inlineStr">
        <is>
          <t>M</t>
        </is>
      </c>
      <c r="I3835" s="0">
        <v>29.99</v>
      </c>
      <c r="J3835" s="0">
        <v>286</v>
      </c>
    </row>
    <row r="3836" spans="1:10" customHeight="0">
      <c r="A3836" s="0">
        <f>HYPERLINK("https://dl.dropboxusercontent.com/scl/fi/ib4gfrlwrwur6j7g7ltzw/mock-162048-iowa-slate-m-bk-v1-02.jpg?rlkey=ek66kbpwen2npa751phc74mc5&amp;dl=0","Click to download Image")</f>
      </c>
      <c r="B3836" s="0">
        <f>HYPERLINK("https://dl.dropboxusercontent.com/scl/fi/bllpah8cy0zanpi8j07b0/mens-t-shirt-size-chartsslate-cason.jpg?rlkey=x22hzgyz19wxufse3jyvxn9rx&amp;dl=0","Click to download SizeChart")</f>
      </c>
      <c r="C3836" s="0" t="inlineStr">
        <is>
          <t>Slate Men's Ultra-Soft T-Shirt</t>
        </is>
      </c>
      <c r="D3836" s="1">
        <v>162048</v>
      </c>
      <c r="E3836" s="0" t="inlineStr">
        <is>
          <t>IOWA SLATE M BK:162048C-L</t>
        </is>
      </c>
      <c r="F3836" s="2">
        <v>800162048069</v>
      </c>
      <c r="G3836" s="0" t="inlineStr">
        <is>
          <t>MENS</t>
        </is>
      </c>
      <c r="H3836" s="0" t="inlineStr">
        <is>
          <t>L</t>
        </is>
      </c>
      <c r="I3836" s="0">
        <v>29.99</v>
      </c>
      <c r="J3836" s="0">
        <v>275</v>
      </c>
    </row>
    <row r="3837" spans="1:10" customHeight="0">
      <c r="A3837" s="0">
        <f>HYPERLINK("https://dl.dropboxusercontent.com/scl/fi/ib4gfrlwrwur6j7g7ltzw/mock-162048-iowa-slate-m-bk-v1-02.jpg?rlkey=ek66kbpwen2npa751phc74mc5&amp;dl=0","Click to download Image")</f>
      </c>
      <c r="B3837" s="0">
        <f>HYPERLINK("https://dl.dropboxusercontent.com/scl/fi/bllpah8cy0zanpi8j07b0/mens-t-shirt-size-chartsslate-cason.jpg?rlkey=x22hzgyz19wxufse3jyvxn9rx&amp;dl=0","Click to download SizeChart")</f>
      </c>
      <c r="C3837" s="0" t="inlineStr">
        <is>
          <t>Slate Men's Ultra-Soft T-Shirt</t>
        </is>
      </c>
      <c r="D3837" s="1">
        <v>162048</v>
      </c>
      <c r="E3837" s="0" t="inlineStr">
        <is>
          <t>IOWA SLATE M BK:162048D-XL</t>
        </is>
      </c>
      <c r="F3837" s="2">
        <v>800162048076</v>
      </c>
      <c r="G3837" s="0" t="inlineStr">
        <is>
          <t>MENS</t>
        </is>
      </c>
      <c r="H3837" s="0" t="inlineStr">
        <is>
          <t>XL</t>
        </is>
      </c>
      <c r="I3837" s="0">
        <v>29.99</v>
      </c>
      <c r="J3837" s="0">
        <v>266</v>
      </c>
    </row>
    <row r="3838" spans="1:10" customHeight="0">
      <c r="A3838" s="0">
        <f>HYPERLINK("https://dl.dropboxusercontent.com/scl/fi/ib4gfrlwrwur6j7g7ltzw/mock-162048-iowa-slate-m-bk-v1-02.jpg?rlkey=ek66kbpwen2npa751phc74mc5&amp;dl=0","Click to download Image")</f>
      </c>
      <c r="B3838" s="0">
        <f>HYPERLINK("https://dl.dropboxusercontent.com/scl/fi/bllpah8cy0zanpi8j07b0/mens-t-shirt-size-chartsslate-cason.jpg?rlkey=x22hzgyz19wxufse3jyvxn9rx&amp;dl=0","Click to download SizeChart")</f>
      </c>
      <c r="C3838" s="0" t="inlineStr">
        <is>
          <t>Slate Men's Ultra-Soft T-Shirt</t>
        </is>
      </c>
      <c r="D3838" s="1">
        <v>162048</v>
      </c>
      <c r="E3838" s="0" t="inlineStr">
        <is>
          <t>IOWA SLATE M BK:162048E-2XL</t>
        </is>
      </c>
      <c r="F3838" s="2">
        <v>800162048083</v>
      </c>
      <c r="G3838" s="0" t="inlineStr">
        <is>
          <t>MENS</t>
        </is>
      </c>
      <c r="H3838" s="0" t="inlineStr">
        <is>
          <t>2XL</t>
        </is>
      </c>
      <c r="I3838" s="0">
        <v>31.99</v>
      </c>
      <c r="J3838" s="0">
        <v>182</v>
      </c>
    </row>
    <row r="3839" spans="1:10" customHeight="0">
      <c r="A3839" s="0">
        <f>HYPERLINK("https://dl.dropboxusercontent.com/scl/fi/ib4gfrlwrwur6j7g7ltzw/mock-162048-iowa-slate-m-bk-v1-02.jpg?rlkey=ek66kbpwen2npa751phc74mc5&amp;dl=0","Click to download Image")</f>
      </c>
      <c r="B3839" s="0">
        <f>HYPERLINK("https://dl.dropboxusercontent.com/scl/fi/bllpah8cy0zanpi8j07b0/mens-t-shirt-size-chartsslate-cason.jpg?rlkey=x22hzgyz19wxufse3jyvxn9rx&amp;dl=0","Click to download SizeChart")</f>
      </c>
      <c r="C3839" s="0" t="inlineStr">
        <is>
          <t>Slate Men's Ultra-Soft T-Shirt</t>
        </is>
      </c>
      <c r="D3839" s="1">
        <v>162048</v>
      </c>
      <c r="E3839" s="0" t="inlineStr">
        <is>
          <t>IOWA SLATE M BK:162048F-3XL</t>
        </is>
      </c>
      <c r="F3839" s="2">
        <v>800162048090</v>
      </c>
      <c r="G3839" s="0" t="inlineStr">
        <is>
          <t>MENS</t>
        </is>
      </c>
      <c r="H3839" s="0" t="inlineStr">
        <is>
          <t>3XL</t>
        </is>
      </c>
      <c r="I3839" s="0">
        <v>31.99</v>
      </c>
      <c r="J3839" s="0">
        <v>127</v>
      </c>
    </row>
    <row r="3840" spans="1:10" customHeight="0">
      <c r="A3840" s="0">
        <f>HYPERLINK("https://dl.dropboxusercontent.com/scl/fi/rwmrl024x8idohtvxiu79/mock-162049-iowa-slate-m-dg-v1-02.jpg?rlkey=ca2vujla27petr5irgyqengl7&amp;dl=0","Click to download Image")</f>
      </c>
      <c r="B3840" s="0">
        <f>HYPERLINK("https://dl.dropboxusercontent.com/scl/fi/bllpah8cy0zanpi8j07b0/mens-t-shirt-size-chartsslate-cason.jpg?rlkey=x22hzgyz19wxufse3jyvxn9rx&amp;dl=0","Click to download SizeChart")</f>
      </c>
      <c r="C3840" s="0" t="inlineStr">
        <is>
          <t>Slate Men's Ultra-Soft T-Shirt</t>
        </is>
      </c>
      <c r="D3840" s="1">
        <v>162049</v>
      </c>
      <c r="E3840" s="0" t="inlineStr">
        <is>
          <t>IOWA SLATE M DG:162049A-S</t>
        </is>
      </c>
      <c r="F3840" s="2">
        <v>800162049042</v>
      </c>
      <c r="G3840" s="0" t="inlineStr">
        <is>
          <t>MENS</t>
        </is>
      </c>
      <c r="H3840" s="0" t="inlineStr">
        <is>
          <t>S</t>
        </is>
      </c>
      <c r="I3840" s="0">
        <v>29.99</v>
      </c>
      <c r="J3840" s="0">
        <v>21</v>
      </c>
    </row>
    <row r="3841" spans="1:10" customHeight="0">
      <c r="A3841" s="0">
        <f>HYPERLINK("https://dl.dropboxusercontent.com/scl/fi/rwmrl024x8idohtvxiu79/mock-162049-iowa-slate-m-dg-v1-02.jpg?rlkey=ca2vujla27petr5irgyqengl7&amp;dl=0","Click to download Image")</f>
      </c>
      <c r="B3841" s="0">
        <f>HYPERLINK("https://dl.dropboxusercontent.com/scl/fi/bllpah8cy0zanpi8j07b0/mens-t-shirt-size-chartsslate-cason.jpg?rlkey=x22hzgyz19wxufse3jyvxn9rx&amp;dl=0","Click to download SizeChart")</f>
      </c>
      <c r="C3841" s="0" t="inlineStr">
        <is>
          <t>Slate Men's Ultra-Soft T-Shirt</t>
        </is>
      </c>
      <c r="D3841" s="1">
        <v>162049</v>
      </c>
      <c r="E3841" s="0" t="inlineStr">
        <is>
          <t>IOWA SLATE M DG:162049B-M</t>
        </is>
      </c>
      <c r="F3841" s="2">
        <v>800162049059</v>
      </c>
      <c r="G3841" s="0" t="inlineStr">
        <is>
          <t>MENS</t>
        </is>
      </c>
      <c r="H3841" s="0" t="inlineStr">
        <is>
          <t>M</t>
        </is>
      </c>
      <c r="I3841" s="0">
        <v>29.99</v>
      </c>
      <c r="J3841" s="0">
        <v>20</v>
      </c>
    </row>
    <row r="3842" spans="1:10" customHeight="0">
      <c r="A3842" s="0">
        <f>HYPERLINK("https://dl.dropboxusercontent.com/scl/fi/rwmrl024x8idohtvxiu79/mock-162049-iowa-slate-m-dg-v1-02.jpg?rlkey=ca2vujla27petr5irgyqengl7&amp;dl=0","Click to download Image")</f>
      </c>
      <c r="B3842" s="0">
        <f>HYPERLINK("https://dl.dropboxusercontent.com/scl/fi/bllpah8cy0zanpi8j07b0/mens-t-shirt-size-chartsslate-cason.jpg?rlkey=x22hzgyz19wxufse3jyvxn9rx&amp;dl=0","Click to download SizeChart")</f>
      </c>
      <c r="C3842" s="0" t="inlineStr">
        <is>
          <t>Slate Men's Ultra-Soft T-Shirt</t>
        </is>
      </c>
      <c r="D3842" s="1">
        <v>162049</v>
      </c>
      <c r="E3842" s="0" t="inlineStr">
        <is>
          <t>IOWA SLATE M DG:162049C-L</t>
        </is>
      </c>
      <c r="F3842" s="2">
        <v>800162049066</v>
      </c>
      <c r="G3842" s="0" t="inlineStr">
        <is>
          <t>MENS</t>
        </is>
      </c>
      <c r="H3842" s="0" t="inlineStr">
        <is>
          <t>L</t>
        </is>
      </c>
      <c r="I3842" s="0">
        <v>29.99</v>
      </c>
      <c r="J3842" s="0">
        <v>21</v>
      </c>
    </row>
    <row r="3843" spans="1:10" customHeight="0">
      <c r="A3843" s="0">
        <f>HYPERLINK("https://dl.dropboxusercontent.com/scl/fi/rwmrl024x8idohtvxiu79/mock-162049-iowa-slate-m-dg-v1-02.jpg?rlkey=ca2vujla27petr5irgyqengl7&amp;dl=0","Click to download Image")</f>
      </c>
      <c r="B3843" s="0">
        <f>HYPERLINK("https://dl.dropboxusercontent.com/scl/fi/bllpah8cy0zanpi8j07b0/mens-t-shirt-size-chartsslate-cason.jpg?rlkey=x22hzgyz19wxufse3jyvxn9rx&amp;dl=0","Click to download SizeChart")</f>
      </c>
      <c r="C3843" s="0" t="inlineStr">
        <is>
          <t>Slate Men's Ultra-Soft T-Shirt</t>
        </is>
      </c>
      <c r="D3843" s="1">
        <v>162049</v>
      </c>
      <c r="E3843" s="0" t="inlineStr">
        <is>
          <t>IOWA SLATE M DG:162049D-XL</t>
        </is>
      </c>
      <c r="F3843" s="2">
        <v>800162049073</v>
      </c>
      <c r="G3843" s="0" t="inlineStr">
        <is>
          <t>MENS</t>
        </is>
      </c>
      <c r="H3843" s="0" t="inlineStr">
        <is>
          <t>XL</t>
        </is>
      </c>
      <c r="I3843" s="0">
        <v>29.99</v>
      </c>
      <c r="J3843" s="0">
        <v>21</v>
      </c>
    </row>
    <row r="3844" spans="1:10" customHeight="0">
      <c r="A3844" s="0">
        <f>HYPERLINK("https://dl.dropboxusercontent.com/scl/fi/rwmrl024x8idohtvxiu79/mock-162049-iowa-slate-m-dg-v1-02.jpg?rlkey=ca2vujla27petr5irgyqengl7&amp;dl=0","Click to download Image")</f>
      </c>
      <c r="B3844" s="0">
        <f>HYPERLINK("https://dl.dropboxusercontent.com/scl/fi/bllpah8cy0zanpi8j07b0/mens-t-shirt-size-chartsslate-cason.jpg?rlkey=x22hzgyz19wxufse3jyvxn9rx&amp;dl=0","Click to download SizeChart")</f>
      </c>
      <c r="C3844" s="0" t="inlineStr">
        <is>
          <t>Slate Men's Ultra-Soft T-Shirt</t>
        </is>
      </c>
      <c r="D3844" s="1">
        <v>162049</v>
      </c>
      <c r="E3844" s="0" t="inlineStr">
        <is>
          <t>IOWA SLATE M DG:162049E-2XL</t>
        </is>
      </c>
      <c r="F3844" s="2">
        <v>800162049080</v>
      </c>
      <c r="G3844" s="0" t="inlineStr">
        <is>
          <t>MENS</t>
        </is>
      </c>
      <c r="H3844" s="0" t="inlineStr">
        <is>
          <t>2XL</t>
        </is>
      </c>
      <c r="I3844" s="0">
        <v>31.99</v>
      </c>
      <c r="J3844" s="0">
        <v>21</v>
      </c>
    </row>
    <row r="3845" spans="1:10" customHeight="0">
      <c r="A3845" s="0">
        <f>HYPERLINK("https://dl.dropboxusercontent.com/scl/fi/rwmrl024x8idohtvxiu79/mock-162049-iowa-slate-m-dg-v1-02.jpg?rlkey=ca2vujla27petr5irgyqengl7&amp;dl=0","Click to download Image")</f>
      </c>
      <c r="B3845" s="0">
        <f>HYPERLINK("https://dl.dropboxusercontent.com/scl/fi/bllpah8cy0zanpi8j07b0/mens-t-shirt-size-chartsslate-cason.jpg?rlkey=x22hzgyz19wxufse3jyvxn9rx&amp;dl=0","Click to download SizeChart")</f>
      </c>
      <c r="C3845" s="0" t="inlineStr">
        <is>
          <t>Slate Men's Ultra-Soft T-Shirt</t>
        </is>
      </c>
      <c r="D3845" s="1">
        <v>162049</v>
      </c>
      <c r="E3845" s="0" t="inlineStr">
        <is>
          <t>IOWA SLATE M DG:162049F-3XL</t>
        </is>
      </c>
      <c r="F3845" s="2">
        <v>800162049097</v>
      </c>
      <c r="G3845" s="0" t="inlineStr">
        <is>
          <t>MENS</t>
        </is>
      </c>
      <c r="H3845" s="0" t="inlineStr">
        <is>
          <t>3XL</t>
        </is>
      </c>
      <c r="I3845" s="0">
        <v>31.99</v>
      </c>
      <c r="J3845" s="0">
        <v>21</v>
      </c>
    </row>
    <row r="3846" spans="1:10" customHeight="0">
      <c r="A3846" s="0">
        <f>HYPERLINK("https://dl.dropboxusercontent.com/scl/fi/i8bmw8fxrg18h5iah19a6/mock-162469-iowa-slate-m-gy-v1-02.jpg?rlkey=f42y6f2mlkml19s7p6poqzn65&amp;dl=0","Click to download Image")</f>
      </c>
      <c r="B3846" s="0">
        <f>HYPERLINK("https://dl.dropboxusercontent.com/scl/fi/bllpah8cy0zanpi8j07b0/mens-t-shirt-size-chartsslate-cason.jpg?rlkey=x22hzgyz19wxufse3jyvxn9rx&amp;dl=0","Click to download SizeChart")</f>
      </c>
      <c r="C3846" s="0" t="inlineStr">
        <is>
          <t>Slate Men's Ultra-Soft T-Shirt</t>
        </is>
      </c>
      <c r="D3846" s="1">
        <v>162469</v>
      </c>
      <c r="E3846" s="0" t="inlineStr">
        <is>
          <t>IOWA SLATE M HG:162469A-S</t>
        </is>
      </c>
      <c r="F3846" s="2">
        <v>800162469048</v>
      </c>
      <c r="G3846" s="0" t="inlineStr">
        <is>
          <t>MENS</t>
        </is>
      </c>
      <c r="H3846" s="0" t="inlineStr">
        <is>
          <t>S</t>
        </is>
      </c>
      <c r="I3846" s="0">
        <v>29.99</v>
      </c>
      <c r="J3846" s="0">
        <v>44</v>
      </c>
    </row>
    <row r="3847" spans="1:10" customHeight="0">
      <c r="A3847" s="0">
        <f>HYPERLINK("https://dl.dropboxusercontent.com/scl/fi/i8bmw8fxrg18h5iah19a6/mock-162469-iowa-slate-m-gy-v1-02.jpg?rlkey=f42y6f2mlkml19s7p6poqzn65&amp;dl=0","Click to download Image")</f>
      </c>
      <c r="B3847" s="0">
        <f>HYPERLINK("https://dl.dropboxusercontent.com/scl/fi/bllpah8cy0zanpi8j07b0/mens-t-shirt-size-chartsslate-cason.jpg?rlkey=x22hzgyz19wxufse3jyvxn9rx&amp;dl=0","Click to download SizeChart")</f>
      </c>
      <c r="C3847" s="0" t="inlineStr">
        <is>
          <t>Slate Men's Ultra-Soft T-Shirt</t>
        </is>
      </c>
      <c r="D3847" s="1">
        <v>162469</v>
      </c>
      <c r="E3847" s="0" t="inlineStr">
        <is>
          <t>IOWA SLATE M HG:162469B-M</t>
        </is>
      </c>
      <c r="F3847" s="2">
        <v>800162469055</v>
      </c>
      <c r="G3847" s="0" t="inlineStr">
        <is>
          <t>MENS</t>
        </is>
      </c>
      <c r="H3847" s="0" t="inlineStr">
        <is>
          <t>M</t>
        </is>
      </c>
      <c r="I3847" s="0">
        <v>29.99</v>
      </c>
      <c r="J3847" s="0">
        <v>88</v>
      </c>
    </row>
    <row r="3848" spans="1:10" customHeight="0">
      <c r="A3848" s="0">
        <f>HYPERLINK("https://dl.dropboxusercontent.com/scl/fi/i8bmw8fxrg18h5iah19a6/mock-162469-iowa-slate-m-gy-v1-02.jpg?rlkey=f42y6f2mlkml19s7p6poqzn65&amp;dl=0","Click to download Image")</f>
      </c>
      <c r="B3848" s="0">
        <f>HYPERLINK("https://dl.dropboxusercontent.com/scl/fi/bllpah8cy0zanpi8j07b0/mens-t-shirt-size-chartsslate-cason.jpg?rlkey=x22hzgyz19wxufse3jyvxn9rx&amp;dl=0","Click to download SizeChart")</f>
      </c>
      <c r="C3848" s="0" t="inlineStr">
        <is>
          <t>Slate Men's Ultra-Soft T-Shirt</t>
        </is>
      </c>
      <c r="D3848" s="1">
        <v>162469</v>
      </c>
      <c r="E3848" s="0" t="inlineStr">
        <is>
          <t>IOWA SLATE M HG:162469C-L</t>
        </is>
      </c>
      <c r="F3848" s="2">
        <v>800162469062</v>
      </c>
      <c r="G3848" s="0" t="inlineStr">
        <is>
          <t>MENS</t>
        </is>
      </c>
      <c r="H3848" s="0" t="inlineStr">
        <is>
          <t>L</t>
        </is>
      </c>
      <c r="I3848" s="0">
        <v>29.99</v>
      </c>
      <c r="J3848" s="0">
        <v>126</v>
      </c>
    </row>
    <row r="3849" spans="1:10" customHeight="0">
      <c r="A3849" s="0">
        <f>HYPERLINK("https://dl.dropboxusercontent.com/scl/fi/i8bmw8fxrg18h5iah19a6/mock-162469-iowa-slate-m-gy-v1-02.jpg?rlkey=f42y6f2mlkml19s7p6poqzn65&amp;dl=0","Click to download Image")</f>
      </c>
      <c r="B3849" s="0">
        <f>HYPERLINK("https://dl.dropboxusercontent.com/scl/fi/bllpah8cy0zanpi8j07b0/mens-t-shirt-size-chartsslate-cason.jpg?rlkey=x22hzgyz19wxufse3jyvxn9rx&amp;dl=0","Click to download SizeChart")</f>
      </c>
      <c r="C3849" s="0" t="inlineStr">
        <is>
          <t>Slate Men's Ultra-Soft T-Shirt</t>
        </is>
      </c>
      <c r="D3849" s="1">
        <v>162469</v>
      </c>
      <c r="E3849" s="0" t="inlineStr">
        <is>
          <t>IOWA SLATE M HG:162469D-XL</t>
        </is>
      </c>
      <c r="F3849" s="2">
        <v>800162469079</v>
      </c>
      <c r="G3849" s="0" t="inlineStr">
        <is>
          <t>MENS</t>
        </is>
      </c>
      <c r="H3849" s="0" t="inlineStr">
        <is>
          <t>XL</t>
        </is>
      </c>
      <c r="I3849" s="0">
        <v>29.99</v>
      </c>
      <c r="J3849" s="0">
        <v>169</v>
      </c>
    </row>
    <row r="3850" spans="1:10" customHeight="0">
      <c r="A3850" s="0">
        <f>HYPERLINK("https://dl.dropboxusercontent.com/scl/fi/i8bmw8fxrg18h5iah19a6/mock-162469-iowa-slate-m-gy-v1-02.jpg?rlkey=f42y6f2mlkml19s7p6poqzn65&amp;dl=0","Click to download Image")</f>
      </c>
      <c r="B3850" s="0">
        <f>HYPERLINK("https://dl.dropboxusercontent.com/scl/fi/bllpah8cy0zanpi8j07b0/mens-t-shirt-size-chartsslate-cason.jpg?rlkey=x22hzgyz19wxufse3jyvxn9rx&amp;dl=0","Click to download SizeChart")</f>
      </c>
      <c r="C3850" s="0" t="inlineStr">
        <is>
          <t>Slate Men's Ultra-Soft T-Shirt</t>
        </is>
      </c>
      <c r="D3850" s="1">
        <v>162469</v>
      </c>
      <c r="E3850" s="0" t="inlineStr">
        <is>
          <t>IOWA SLATE M HG:162469E-2XL</t>
        </is>
      </c>
      <c r="F3850" s="2">
        <v>800162469086</v>
      </c>
      <c r="G3850" s="0" t="inlineStr">
        <is>
          <t>MENS</t>
        </is>
      </c>
      <c r="H3850" s="0" t="inlineStr">
        <is>
          <t>2XL</t>
        </is>
      </c>
      <c r="I3850" s="0">
        <v>31.99</v>
      </c>
      <c r="J3850" s="0">
        <v>102</v>
      </c>
    </row>
    <row r="3851" spans="1:10" customHeight="0">
      <c r="A3851" s="0">
        <f>HYPERLINK("https://dl.dropboxusercontent.com/scl/fi/i8bmw8fxrg18h5iah19a6/mock-162469-iowa-slate-m-gy-v1-02.jpg?rlkey=f42y6f2mlkml19s7p6poqzn65&amp;dl=0","Click to download Image")</f>
      </c>
      <c r="B3851" s="0">
        <f>HYPERLINK("https://dl.dropboxusercontent.com/scl/fi/bllpah8cy0zanpi8j07b0/mens-t-shirt-size-chartsslate-cason.jpg?rlkey=x22hzgyz19wxufse3jyvxn9rx&amp;dl=0","Click to download SizeChart")</f>
      </c>
      <c r="C3851" s="0" t="inlineStr">
        <is>
          <t>Slate Men's Ultra-Soft T-Shirt</t>
        </is>
      </c>
      <c r="D3851" s="1">
        <v>162469</v>
      </c>
      <c r="E3851" s="0" t="inlineStr">
        <is>
          <t>IOWA SLATE M HG:162469F-3XL</t>
        </is>
      </c>
      <c r="F3851" s="2">
        <v>800162469093</v>
      </c>
      <c r="G3851" s="0" t="inlineStr">
        <is>
          <t>MENS</t>
        </is>
      </c>
      <c r="H3851" s="0" t="inlineStr">
        <is>
          <t>3XL</t>
        </is>
      </c>
      <c r="I3851" s="0">
        <v>31.99</v>
      </c>
      <c r="J3851" s="0">
        <v>54</v>
      </c>
    </row>
    <row r="3852" spans="1:10" customHeight="0">
      <c r="A3852" s="0">
        <f>HYPERLINK("https://dl.dropboxusercontent.com/scl/fi/o8hief9fkg7zkwigqgyfc/mock-162996-iowa-slate-m-dg-v1-02.jpg?rlkey=ar3w5p0o0l2c9fh6caunirgzn&amp;dl=0","Click to download Image")</f>
      </c>
      <c r="B3852" s="0">
        <f>HYPERLINK("https://dl.dropboxusercontent.com/scl/fi/bllpah8cy0zanpi8j07b0/mens-t-shirt-size-chartsslate-cason.jpg?rlkey=x22hzgyz19wxufse3jyvxn9rx&amp;dl=0","Click to download SizeChart")</f>
      </c>
      <c r="C3852" s="0" t="inlineStr">
        <is>
          <t>Slate Men's Ultra-Soft T-Shirt</t>
        </is>
      </c>
      <c r="D3852" s="1">
        <v>162996</v>
      </c>
      <c r="E3852" s="0" t="inlineStr">
        <is>
          <t>IOWA SLATE M DG:162996A-S</t>
        </is>
      </c>
      <c r="F3852" s="2">
        <v>800162996049</v>
      </c>
      <c r="G3852" s="0" t="inlineStr">
        <is>
          <t>MENS</t>
        </is>
      </c>
      <c r="H3852" s="0" t="inlineStr">
        <is>
          <t>S</t>
        </is>
      </c>
      <c r="I3852" s="0">
        <v>29.99</v>
      </c>
      <c r="J3852" s="0">
        <v>26</v>
      </c>
    </row>
    <row r="3853" spans="1:10" customHeight="0">
      <c r="A3853" s="0">
        <f>HYPERLINK("https://dl.dropboxusercontent.com/scl/fi/o8hief9fkg7zkwigqgyfc/mock-162996-iowa-slate-m-dg-v1-02.jpg?rlkey=ar3w5p0o0l2c9fh6caunirgzn&amp;dl=0","Click to download Image")</f>
      </c>
      <c r="B3853" s="0">
        <f>HYPERLINK("https://dl.dropboxusercontent.com/scl/fi/bllpah8cy0zanpi8j07b0/mens-t-shirt-size-chartsslate-cason.jpg?rlkey=x22hzgyz19wxufse3jyvxn9rx&amp;dl=0","Click to download SizeChart")</f>
      </c>
      <c r="C3853" s="0" t="inlineStr">
        <is>
          <t>Slate Men's Ultra-Soft T-Shirt</t>
        </is>
      </c>
      <c r="D3853" s="1">
        <v>162996</v>
      </c>
      <c r="E3853" s="0" t="inlineStr">
        <is>
          <t>IOWA SLATE M DG:162996B-M</t>
        </is>
      </c>
      <c r="F3853" s="2">
        <v>800162996056</v>
      </c>
      <c r="G3853" s="0" t="inlineStr">
        <is>
          <t>MENS</t>
        </is>
      </c>
      <c r="H3853" s="0" t="inlineStr">
        <is>
          <t>M</t>
        </is>
      </c>
      <c r="I3853" s="0">
        <v>29.99</v>
      </c>
      <c r="J3853" s="0">
        <v>20</v>
      </c>
    </row>
    <row r="3854" spans="1:10" customHeight="0">
      <c r="A3854" s="0">
        <f>HYPERLINK("https://dl.dropboxusercontent.com/scl/fi/o8hief9fkg7zkwigqgyfc/mock-162996-iowa-slate-m-dg-v1-02.jpg?rlkey=ar3w5p0o0l2c9fh6caunirgzn&amp;dl=0","Click to download Image")</f>
      </c>
      <c r="B3854" s="0">
        <f>HYPERLINK("https://dl.dropboxusercontent.com/scl/fi/bllpah8cy0zanpi8j07b0/mens-t-shirt-size-chartsslate-cason.jpg?rlkey=x22hzgyz19wxufse3jyvxn9rx&amp;dl=0","Click to download SizeChart")</f>
      </c>
      <c r="C3854" s="0" t="inlineStr">
        <is>
          <t>Slate Men's Ultra-Soft T-Shirt</t>
        </is>
      </c>
      <c r="D3854" s="1">
        <v>162996</v>
      </c>
      <c r="E3854" s="0" t="inlineStr">
        <is>
          <t>IOWA SLATE M DG:162996C-L</t>
        </is>
      </c>
      <c r="F3854" s="2">
        <v>800162996063</v>
      </c>
      <c r="G3854" s="0" t="inlineStr">
        <is>
          <t>MENS</t>
        </is>
      </c>
      <c r="H3854" s="0" t="inlineStr">
        <is>
          <t>L</t>
        </is>
      </c>
      <c r="I3854" s="0">
        <v>29.99</v>
      </c>
      <c r="J3854" s="0">
        <v>35</v>
      </c>
    </row>
    <row r="3855" spans="1:10" customHeight="0">
      <c r="A3855" s="0">
        <f>HYPERLINK("https://dl.dropboxusercontent.com/scl/fi/o8hief9fkg7zkwigqgyfc/mock-162996-iowa-slate-m-dg-v1-02.jpg?rlkey=ar3w5p0o0l2c9fh6caunirgzn&amp;dl=0","Click to download Image")</f>
      </c>
      <c r="B3855" s="0">
        <f>HYPERLINK("https://dl.dropboxusercontent.com/scl/fi/bllpah8cy0zanpi8j07b0/mens-t-shirt-size-chartsslate-cason.jpg?rlkey=x22hzgyz19wxufse3jyvxn9rx&amp;dl=0","Click to download SizeChart")</f>
      </c>
      <c r="C3855" s="0" t="inlineStr">
        <is>
          <t>Slate Men's Ultra-Soft T-Shirt</t>
        </is>
      </c>
      <c r="D3855" s="1">
        <v>162996</v>
      </c>
      <c r="E3855" s="0" t="inlineStr">
        <is>
          <t>IOWA SLATE M DG:162996D-XL</t>
        </is>
      </c>
      <c r="F3855" s="2">
        <v>800162996070</v>
      </c>
      <c r="G3855" s="0" t="inlineStr">
        <is>
          <t>MENS</t>
        </is>
      </c>
      <c r="H3855" s="0" t="inlineStr">
        <is>
          <t>XL</t>
        </is>
      </c>
      <c r="I3855" s="0">
        <v>29.99</v>
      </c>
      <c r="J3855" s="0">
        <v>54</v>
      </c>
    </row>
    <row r="3856" spans="1:10" customHeight="0">
      <c r="A3856" s="0">
        <f>HYPERLINK("https://dl.dropboxusercontent.com/scl/fi/o8hief9fkg7zkwigqgyfc/mock-162996-iowa-slate-m-dg-v1-02.jpg?rlkey=ar3w5p0o0l2c9fh6caunirgzn&amp;dl=0","Click to download Image")</f>
      </c>
      <c r="B3856" s="0">
        <f>HYPERLINK("https://dl.dropboxusercontent.com/scl/fi/bllpah8cy0zanpi8j07b0/mens-t-shirt-size-chartsslate-cason.jpg?rlkey=x22hzgyz19wxufse3jyvxn9rx&amp;dl=0","Click to download SizeChart")</f>
      </c>
      <c r="C3856" s="0" t="inlineStr">
        <is>
          <t>Slate Men's Ultra-Soft T-Shirt</t>
        </is>
      </c>
      <c r="D3856" s="1">
        <v>162996</v>
      </c>
      <c r="E3856" s="0" t="inlineStr">
        <is>
          <t>IOWA SLATE M DG:162996E-2XL</t>
        </is>
      </c>
      <c r="F3856" s="2">
        <v>800162996087</v>
      </c>
      <c r="G3856" s="0" t="inlineStr">
        <is>
          <t>MENS</t>
        </is>
      </c>
      <c r="H3856" s="0" t="inlineStr">
        <is>
          <t>2XL</t>
        </is>
      </c>
      <c r="I3856" s="0">
        <v>31.99</v>
      </c>
      <c r="J3856" s="0">
        <v>66</v>
      </c>
    </row>
    <row r="3857" spans="1:10" customHeight="0">
      <c r="A3857" s="0">
        <f>HYPERLINK("https://dl.dropboxusercontent.com/scl/fi/o8hief9fkg7zkwigqgyfc/mock-162996-iowa-slate-m-dg-v1-02.jpg?rlkey=ar3w5p0o0l2c9fh6caunirgzn&amp;dl=0","Click to download Image")</f>
      </c>
      <c r="B3857" s="0">
        <f>HYPERLINK("https://dl.dropboxusercontent.com/scl/fi/bllpah8cy0zanpi8j07b0/mens-t-shirt-size-chartsslate-cason.jpg?rlkey=x22hzgyz19wxufse3jyvxn9rx&amp;dl=0","Click to download SizeChart")</f>
      </c>
      <c r="C3857" s="0" t="inlineStr">
        <is>
          <t>Slate Men's Ultra-Soft T-Shirt</t>
        </is>
      </c>
      <c r="D3857" s="1">
        <v>162996</v>
      </c>
      <c r="E3857" s="0" t="inlineStr">
        <is>
          <t>IOWA SLATE M DG:162996F-3XL</t>
        </is>
      </c>
      <c r="F3857" s="2">
        <v>800162996094</v>
      </c>
      <c r="G3857" s="0" t="inlineStr">
        <is>
          <t>MENS</t>
        </is>
      </c>
      <c r="H3857" s="0" t="inlineStr">
        <is>
          <t>3XL</t>
        </is>
      </c>
      <c r="I3857" s="0">
        <v>31.99</v>
      </c>
      <c r="J3857" s="0">
        <v>34</v>
      </c>
    </row>
    <row r="3858" spans="1:10" customHeight="0">
      <c r="A3858" s="0">
        <f>HYPERLINK("https://dl.dropboxusercontent.com/scl/fi/5n27skr5aokt9qf2njbxl/screenshot-2025-08-04-at-10.42.45am.jpg?rlkey=oxvdqdtixs55sz1ozt8le16yo&amp;dl=0","Click to download Image")</f>
      </c>
      <c r="C3858" s="0" t="inlineStr">
        <is>
          <t>Courtside Men's Flatbill Cap</t>
        </is>
      </c>
      <c r="D3858" s="1">
        <v>153085</v>
      </c>
      <c r="E3858" s="0" t="inlineStr">
        <is>
          <t>IOWA COURTS M BK:153085</t>
        </is>
      </c>
      <c r="F3858" s="2">
        <v>700153085007</v>
      </c>
      <c r="G3858" s="0" t="inlineStr">
        <is>
          <t>MENS</t>
        </is>
      </c>
      <c r="H3858" s="0" t="inlineStr">
        <is>
          <t>STANDARD MENS</t>
        </is>
      </c>
      <c r="I3858" s="0">
        <v>65</v>
      </c>
      <c r="J3858" s="0">
        <v>37</v>
      </c>
    </row>
    <row r="3859" spans="1:10" customHeight="0">
      <c r="A3859" s="0">
        <f>HYPERLINK("https://dl.dropboxusercontent.com/scl/fi/c6jge6zp1f7nbmpeckvxf/maximum-159963-t.jpg?rlkey=65bn4odh94anusphocx7ok3dc&amp;dl=0","Click to download Image")</f>
      </c>
      <c r="C3859" s="0" t="inlineStr">
        <is>
          <t>Maximum Men's Beanie</t>
        </is>
      </c>
      <c r="D3859" s="1">
        <v>159963</v>
      </c>
      <c r="E3859" s="0" t="inlineStr">
        <is>
          <t>IOWA MAXIMUM A GY:159963</t>
        </is>
      </c>
      <c r="F3859" s="2">
        <v>700159963019</v>
      </c>
      <c r="G3859" s="0" t="inlineStr">
        <is>
          <t>MENS</t>
        </is>
      </c>
      <c r="H3859" s="0" t="inlineStr">
        <is>
          <t>ADULT</t>
        </is>
      </c>
      <c r="I3859" s="0">
        <v>29.99</v>
      </c>
      <c r="J3859" s="0">
        <v>135</v>
      </c>
    </row>
    <row r="3860" spans="1:10" customHeight="0">
      <c r="A3860" s="0">
        <f>HYPERLINK("https://dl.dropboxusercontent.com/scl/fi/q5pxoytwwq3rm05ax7b0l/ridge-159961-t.jpg?rlkey=dm5k2gfhgb62xm3ikhfoh074z&amp;dl=0","Click to download Image")</f>
      </c>
      <c r="C3860" s="0" t="inlineStr">
        <is>
          <t>Ridge Men's Beanie</t>
        </is>
      </c>
      <c r="D3860" s="1">
        <v>159961</v>
      </c>
      <c r="E3860" s="0" t="inlineStr">
        <is>
          <t>IOWA RIDGE A BK:159961</t>
        </is>
      </c>
      <c r="F3860" s="2">
        <v>700159961015</v>
      </c>
      <c r="G3860" s="0" t="inlineStr">
        <is>
          <t>MENS</t>
        </is>
      </c>
      <c r="H3860" s="0" t="inlineStr">
        <is>
          <t>ADULT</t>
        </is>
      </c>
      <c r="I3860" s="0">
        <v>29.99</v>
      </c>
      <c r="J3860" s="0">
        <v>67</v>
      </c>
    </row>
    <row r="3861" spans="1:10" customHeight="0">
      <c r="A3861" s="0">
        <f>HYPERLINK("https://dl.dropboxusercontent.com/scl/fi/lpamhba762ng7c15jot7v/ridge-160113-f.jpg?rlkey=bpzfeskme8izht374vdxx2914&amp;dl=0","Click to download Image")</f>
      </c>
      <c r="C3861" s="0" t="inlineStr">
        <is>
          <t>Ridge Men's Beanie</t>
        </is>
      </c>
      <c r="D3861" s="1">
        <v>160113</v>
      </c>
      <c r="E3861" s="0" t="inlineStr">
        <is>
          <t>IOWA RIDGE A GY:160113</t>
        </is>
      </c>
      <c r="F3861" s="2">
        <v>700160113014</v>
      </c>
      <c r="G3861" s="0" t="inlineStr">
        <is>
          <t>MENS</t>
        </is>
      </c>
      <c r="H3861" s="0" t="inlineStr">
        <is>
          <t>ADULT</t>
        </is>
      </c>
      <c r="I3861" s="0">
        <v>29.99</v>
      </c>
      <c r="J3861" s="0">
        <v>71</v>
      </c>
    </row>
    <row r="3862" spans="1:10" customHeight="0">
      <c r="A3862" s="0">
        <f>HYPERLINK("https://dl.dropboxusercontent.com/scl/fi/jlmnxysf0nii8brtsghtw/voight-160106-af.jpg?rlkey=810ljudfwydh6r8ia7tmi39eh&amp;dl=0","Click to download Image")</f>
      </c>
      <c r="C3862" s="0" t="inlineStr">
        <is>
          <t>Voight Men's Cap</t>
        </is>
      </c>
      <c r="D3862" s="1">
        <v>160106</v>
      </c>
      <c r="E3862" s="0" t="inlineStr">
        <is>
          <t>IOWA VOIGHT M BK:160106</t>
        </is>
      </c>
      <c r="F3862" s="2">
        <v>700160106009</v>
      </c>
      <c r="G3862" s="0" t="inlineStr">
        <is>
          <t>MENS</t>
        </is>
      </c>
      <c r="H3862" s="0" t="inlineStr">
        <is>
          <t>STANDARD MENS</t>
        </is>
      </c>
      <c r="I3862" s="0">
        <v>29.99</v>
      </c>
      <c r="J3862" s="0">
        <v>36</v>
      </c>
    </row>
    <row r="3863" spans="1:10" customHeight="0">
      <c r="A3863" s="0">
        <f>HYPERLINK("https://dl.dropboxusercontent.com/scl/fi/4jkyvamcjpyetpf7qj9hw/maddox-160107-af.jpg?rlkey=f3gnhgz0pqga6m00akv5stw89&amp;dl=0","Click to download Image")</f>
      </c>
      <c r="C3863" s="0" t="inlineStr">
        <is>
          <t>Maddox Men's Cap Bottomland Camo</t>
        </is>
      </c>
      <c r="D3863" s="1">
        <v>160107</v>
      </c>
      <c r="E3863" s="0" t="inlineStr">
        <is>
          <t>IOWA MADDOX M CO:160107</t>
        </is>
      </c>
      <c r="F3863" s="2">
        <v>700160107006</v>
      </c>
      <c r="G3863" s="0" t="inlineStr">
        <is>
          <t>MENS</t>
        </is>
      </c>
      <c r="H3863" s="0" t="inlineStr">
        <is>
          <t>STANDARD MENS</t>
        </is>
      </c>
      <c r="I3863" s="0">
        <v>29.99</v>
      </c>
      <c r="J3863" s="0">
        <v>11</v>
      </c>
    </row>
    <row r="3864" spans="1:10" customHeight="0">
      <c r="A3864" s="0">
        <f>HYPERLINK("https://dl.dropboxusercontent.com/scl/fi/fnl7dm257ny4yyb8bc5yt/cms-thumbnails-04.jpg?rlkey=9rwogmgs8kaj05n5c1edhsjqc&amp;dl=0","Click to download Image")</f>
      </c>
      <c r="C3864" s="0" t="inlineStr">
        <is>
          <t>Marled Maddox Men's Cap</t>
        </is>
      </c>
      <c r="D3864" s="1">
        <v>160111</v>
      </c>
      <c r="E3864" s="0" t="inlineStr">
        <is>
          <t>IOWA MADDOX M WE:160111</t>
        </is>
      </c>
      <c r="F3864" s="2">
        <v>700160111003</v>
      </c>
      <c r="G3864" s="0" t="inlineStr">
        <is>
          <t>MENS</t>
        </is>
      </c>
      <c r="H3864" s="0" t="inlineStr">
        <is>
          <t>STANDARD:58CM</t>
        </is>
      </c>
      <c r="I3864" s="0">
        <v>29.99</v>
      </c>
      <c r="J3864" s="0">
        <v>23</v>
      </c>
    </row>
    <row r="3865" spans="1:10" customHeight="0">
      <c r="A3865" s="0">
        <f>HYPERLINK("https://dl.dropboxusercontent.com/scl/fi/a26gfe2y8qz4y39xdmufu/cms-tn-08.jpg?rlkey=0e7htukthdw33xk9r58f7mfqw&amp;dl=0","Click to download Image")</f>
      </c>
      <c r="C3865" s="0" t="inlineStr">
        <is>
          <t>Maddox Signature Men's Rope Cap</t>
        </is>
      </c>
      <c r="D3865" s="1">
        <v>160127</v>
      </c>
      <c r="E3865" s="0" t="inlineStr">
        <is>
          <t>IOWA MADDOX M BK:160127</t>
        </is>
      </c>
      <c r="F3865" s="2">
        <v>700160127004</v>
      </c>
      <c r="G3865" s="0" t="inlineStr">
        <is>
          <t>MENS</t>
        </is>
      </c>
      <c r="H3865" s="0" t="inlineStr">
        <is>
          <t>STANDARD MENS</t>
        </is>
      </c>
      <c r="I3865" s="0">
        <v>34.99</v>
      </c>
      <c r="J3865" s="0">
        <v>148</v>
      </c>
    </row>
    <row r="3866" spans="1:10" customHeight="0">
      <c r="A3866" s="0">
        <f>HYPERLINK("https://dl.dropboxusercontent.com/scl/fi/ddm17ibciyy4fecqfncrc/cms-tn-09.jpg?rlkey=elsnnu746qonwurxko069lydm&amp;dl=0","Click to download Image")</f>
      </c>
      <c r="C3866" s="0" t="inlineStr">
        <is>
          <t>Ezra Signature Men's Rope Cap</t>
        </is>
      </c>
      <c r="D3866" s="1">
        <v>160119</v>
      </c>
      <c r="E3866" s="0" t="inlineStr">
        <is>
          <t>IOWA EZRA M BK:160119</t>
        </is>
      </c>
      <c r="F3866" s="2">
        <v>700160119009</v>
      </c>
      <c r="G3866" s="0" t="inlineStr">
        <is>
          <t>MENS</t>
        </is>
      </c>
      <c r="H3866" s="0" t="inlineStr">
        <is>
          <t>STANDARD MENS</t>
        </is>
      </c>
      <c r="I3866" s="0">
        <v>39.99</v>
      </c>
      <c r="J3866" s="0">
        <v>104</v>
      </c>
    </row>
    <row r="3867" spans="1:10" customHeight="0">
      <c r="A3867" s="0">
        <f>HYPERLINK("https://dl.dropboxusercontent.com/scl/fi/t06y5cezbusz6z3z0roc4/cms-tn-02.jpg?rlkey=9u8mr7jycs5g52bvuftf4sn6l&amp;dl=0","Click to download Image")</f>
      </c>
      <c r="C3867" s="0" t="inlineStr">
        <is>
          <t>Ezra Signature Men's Cap</t>
        </is>
      </c>
      <c r="D3867" s="1">
        <v>160124</v>
      </c>
      <c r="E3867" s="0" t="inlineStr">
        <is>
          <t>IOWA EZRA M BK:160124</t>
        </is>
      </c>
      <c r="F3867" s="2">
        <v>700160124003</v>
      </c>
      <c r="G3867" s="0" t="inlineStr">
        <is>
          <t>MENS</t>
        </is>
      </c>
      <c r="H3867" s="0" t="inlineStr">
        <is>
          <t>STANDARD MENS</t>
        </is>
      </c>
      <c r="I3867" s="0">
        <v>39.99</v>
      </c>
      <c r="J3867" s="0">
        <v>147</v>
      </c>
    </row>
    <row r="3868" spans="1:10" customHeight="0">
      <c r="A3868" s="0">
        <f>HYPERLINK("https://dl.dropboxusercontent.com/scl/fi/dngklft1mz49vd6s9dim0/cms-tn-01.jpg?rlkey=kcnzr5r5ptztwa8bx2cb8dwpl&amp;dl=0","Click to download Image")</f>
      </c>
      <c r="C3868" s="0" t="inlineStr">
        <is>
          <t>Ezra Signature Men's Rope Cap</t>
        </is>
      </c>
      <c r="D3868" s="1">
        <v>160122</v>
      </c>
      <c r="E3868" s="0" t="inlineStr">
        <is>
          <t>IOWA EZRA M WE:160122</t>
        </is>
      </c>
      <c r="F3868" s="2">
        <v>700160122009</v>
      </c>
      <c r="G3868" s="0" t="inlineStr">
        <is>
          <t>MENS</t>
        </is>
      </c>
      <c r="H3868" s="0" t="inlineStr">
        <is>
          <t>STANDARD:58CM</t>
        </is>
      </c>
      <c r="I3868" s="0">
        <v>39.99</v>
      </c>
      <c r="J3868" s="0">
        <v>368</v>
      </c>
    </row>
    <row r="3869" spans="1:10" customHeight="0">
      <c r="A3869" s="0">
        <f>HYPERLINK("https://dl.dropboxusercontent.com/scl/fi/e5ar2o1zef8is5s8dsh3i/cms-tn-04.jpg?rlkey=xd9dg9vegyu4kee86ac97lxc5&amp;dl=0","Click to download Image")</f>
      </c>
      <c r="C3869" s="0" t="inlineStr">
        <is>
          <t>Maddox Signature Men's Rope Cap</t>
        </is>
      </c>
      <c r="D3869" s="1">
        <v>160133</v>
      </c>
      <c r="E3869" s="0" t="inlineStr">
        <is>
          <t>IA MADDOX M BK:160133</t>
        </is>
      </c>
      <c r="F3869" s="2">
        <v>700160133005</v>
      </c>
      <c r="G3869" s="0" t="inlineStr">
        <is>
          <t>MENS</t>
        </is>
      </c>
      <c r="H3869" s="0" t="inlineStr">
        <is>
          <t>STANDARD MENS</t>
        </is>
      </c>
      <c r="I3869" s="0">
        <v>34.99</v>
      </c>
      <c r="J3869" s="0">
        <v>126</v>
      </c>
    </row>
    <row r="3870" spans="1:10" customHeight="0">
      <c r="A3870" s="0">
        <f>HYPERLINK("https://dl.dropboxusercontent.com/scl/fi/rzt88mkhkxwhg40w9wgiq/cms-tn-03.jpg?rlkey=705gz02w2pky825uquo9cio9s&amp;dl=0","Click to download Image")</f>
      </c>
      <c r="C3870" s="0" t="inlineStr">
        <is>
          <t>Maddox Signature Men's Rope Cap</t>
        </is>
      </c>
      <c r="D3870" s="1">
        <v>160126</v>
      </c>
      <c r="E3870" s="0" t="inlineStr">
        <is>
          <t>IOWA MADDOX M GD:160126</t>
        </is>
      </c>
      <c r="F3870" s="2">
        <v>700160126007</v>
      </c>
      <c r="G3870" s="0" t="inlineStr">
        <is>
          <t>MENS</t>
        </is>
      </c>
      <c r="H3870" s="0" t="inlineStr">
        <is>
          <t>STANDARD MENS</t>
        </is>
      </c>
      <c r="I3870" s="0">
        <v>34.99</v>
      </c>
      <c r="J3870" s="0">
        <v>298</v>
      </c>
    </row>
    <row r="3871" spans="1:10" customHeight="0">
      <c r="A3871" s="0">
        <f>HYPERLINK("https://dl.dropboxusercontent.com/scl/fi/sdcfgdt0rl2u5t43dd7xd/cms-tn-05.png?rlkey=4valo4bl801ou6nsl4igxetkv&amp;dl=0","Click to download Image")</f>
      </c>
      <c r="C3871" s="0" t="inlineStr">
        <is>
          <t>Deacon Signature Men's Stretch Fit Cap</t>
        </is>
      </c>
      <c r="D3871" s="1">
        <v>160150</v>
      </c>
      <c r="E3871" s="0" t="inlineStr">
        <is>
          <t>IOWA DEACON SM BK:160150</t>
        </is>
      </c>
      <c r="F3871" s="2">
        <v>700160150064</v>
      </c>
      <c r="G3871" s="0" t="inlineStr">
        <is>
          <t>MENS</t>
        </is>
      </c>
      <c r="H3871" s="0" t="inlineStr">
        <is>
          <t>S/M</t>
        </is>
      </c>
      <c r="I3871" s="0">
        <v>29.99</v>
      </c>
      <c r="J3871" s="0">
        <v>69</v>
      </c>
    </row>
    <row r="3872" spans="1:10" customHeight="0">
      <c r="A3872" s="0">
        <f>HYPERLINK("https://dl.dropboxusercontent.com/scl/fi/sdcfgdt0rl2u5t43dd7xd/cms-tn-05.png?rlkey=4valo4bl801ou6nsl4igxetkv&amp;dl=0","Click to download Image")</f>
      </c>
      <c r="C3872" s="0" t="inlineStr">
        <is>
          <t>Deacon Signature Men's Stretch Fit Cap</t>
        </is>
      </c>
      <c r="D3872" s="1">
        <v>160150</v>
      </c>
      <c r="E3872" s="0" t="inlineStr">
        <is>
          <t>IOWA DEACON LXL BK:160150</t>
        </is>
      </c>
      <c r="F3872" s="2">
        <v>700160150071</v>
      </c>
      <c r="G3872" s="0" t="inlineStr">
        <is>
          <t>MENS</t>
        </is>
      </c>
      <c r="H3872" s="0" t="inlineStr">
        <is>
          <t>L/XL</t>
        </is>
      </c>
      <c r="I3872" s="0">
        <v>29.99</v>
      </c>
      <c r="J3872" s="0">
        <v>68</v>
      </c>
    </row>
    <row r="3873" spans="1:10" customHeight="0">
      <c r="A3873" s="0">
        <f>HYPERLINK("https://dl.dropboxusercontent.com/scl/fi/i8jwca4zu761dvl9ndxv2/cms-tn-10.png?rlkey=4ddqkr0kkndxp2agjyo2mr0c5&amp;dl=0","Click to download Image")</f>
      </c>
      <c r="C3873" s="0" t="inlineStr">
        <is>
          <t>Deacon Signature Men's Stretch Fit Cap</t>
        </is>
      </c>
      <c r="D3873" s="1">
        <v>160149</v>
      </c>
      <c r="E3873" s="0" t="inlineStr">
        <is>
          <t>IOWA DEACON SM BK:160149</t>
        </is>
      </c>
      <c r="F3873" s="2">
        <v>700160149068</v>
      </c>
      <c r="G3873" s="0" t="inlineStr">
        <is>
          <t>MENS</t>
        </is>
      </c>
      <c r="H3873" s="0" t="inlineStr">
        <is>
          <t>S/M</t>
        </is>
      </c>
      <c r="I3873" s="0">
        <v>29.99</v>
      </c>
      <c r="J3873" s="0">
        <v>96</v>
      </c>
    </row>
    <row r="3874" spans="1:10" customHeight="0">
      <c r="A3874" s="0">
        <f>HYPERLINK("https://dl.dropboxusercontent.com/scl/fi/i8jwca4zu761dvl9ndxv2/cms-tn-10.png?rlkey=4ddqkr0kkndxp2agjyo2mr0c5&amp;dl=0","Click to download Image")</f>
      </c>
      <c r="C3874" s="0" t="inlineStr">
        <is>
          <t>Deacon Signature Men's Stretch Fit Cap</t>
        </is>
      </c>
      <c r="D3874" s="1">
        <v>160149</v>
      </c>
      <c r="E3874" s="0" t="inlineStr">
        <is>
          <t>IOWA DEACON LXL BK:160149</t>
        </is>
      </c>
      <c r="F3874" s="2">
        <v>700160149075</v>
      </c>
      <c r="G3874" s="0" t="inlineStr">
        <is>
          <t>MENS</t>
        </is>
      </c>
      <c r="H3874" s="0" t="inlineStr">
        <is>
          <t>L/XL</t>
        </is>
      </c>
      <c r="I3874" s="0">
        <v>29.99</v>
      </c>
      <c r="J3874" s="0">
        <v>96</v>
      </c>
    </row>
    <row r="3875" spans="1:10" customHeight="0">
      <c r="A3875" s="0">
        <f>HYPERLINK("https://dl.dropboxusercontent.com/scl/fi/ject1zos5s0369sxcj89q/mock-anf-ia-shirt-gd-v1-07.jpg?rlkey=izj81fws55vozzz14m68id6mc&amp;dl=0","Click to download Image")</f>
      </c>
      <c r="B3875" s="0">
        <f>HYPERLINK("https://dl.dropboxusercontent.com/scl/fi/kb4wf9yg8fk2mbnrl982s/womens-short-sleeve-size-chartscason-sara.jpg?rlkey=h9csr8hbgfsj90qhr8lxrdplf&amp;dl=0","Click to download SizeChart")</f>
      </c>
      <c r="C3875" s="0" t="inlineStr">
        <is>
          <t>Cason Women's Short Sleeve Shirt</t>
        </is>
      </c>
      <c r="D3875" s="1">
        <v>160515</v>
      </c>
      <c r="E3875" s="0" t="inlineStr">
        <is>
          <t>IOWA CASON W GD:160515A-S</t>
        </is>
      </c>
      <c r="F3875" s="2">
        <v>800160515044</v>
      </c>
      <c r="G3875" s="0" t="inlineStr">
        <is>
          <t>WOMENS</t>
        </is>
      </c>
      <c r="H3875" s="0" t="inlineStr">
        <is>
          <t>S</t>
        </is>
      </c>
      <c r="I3875" s="0">
        <v>29.99</v>
      </c>
      <c r="J3875" s="0">
        <v>55</v>
      </c>
    </row>
    <row r="3876" spans="1:10" customHeight="0">
      <c r="A3876" s="0">
        <f>HYPERLINK("https://dl.dropboxusercontent.com/scl/fi/ject1zos5s0369sxcj89q/mock-anf-ia-shirt-gd-v1-07.jpg?rlkey=izj81fws55vozzz14m68id6mc&amp;dl=0","Click to download Image")</f>
      </c>
      <c r="B3876" s="0">
        <f>HYPERLINK("https://dl.dropboxusercontent.com/scl/fi/kb4wf9yg8fk2mbnrl982s/womens-short-sleeve-size-chartscason-sara.jpg?rlkey=h9csr8hbgfsj90qhr8lxrdplf&amp;dl=0","Click to download SizeChart")</f>
      </c>
      <c r="C3876" s="0" t="inlineStr">
        <is>
          <t>Cason Women's Short Sleeve Shirt</t>
        </is>
      </c>
      <c r="D3876" s="1">
        <v>160515</v>
      </c>
      <c r="E3876" s="0" t="inlineStr">
        <is>
          <t>IOWA CASON W GD:160515B-M</t>
        </is>
      </c>
      <c r="F3876" s="2">
        <v>800160515051</v>
      </c>
      <c r="G3876" s="0" t="inlineStr">
        <is>
          <t>WOMENS</t>
        </is>
      </c>
      <c r="H3876" s="0" t="inlineStr">
        <is>
          <t>M</t>
        </is>
      </c>
      <c r="I3876" s="0">
        <v>29.99</v>
      </c>
      <c r="J3876" s="0">
        <v>137</v>
      </c>
    </row>
    <row r="3877" spans="1:10" customHeight="0">
      <c r="A3877" s="0">
        <f>HYPERLINK("https://dl.dropboxusercontent.com/scl/fi/ject1zos5s0369sxcj89q/mock-anf-ia-shirt-gd-v1-07.jpg?rlkey=izj81fws55vozzz14m68id6mc&amp;dl=0","Click to download Image")</f>
      </c>
      <c r="B3877" s="0">
        <f>HYPERLINK("https://dl.dropboxusercontent.com/scl/fi/kb4wf9yg8fk2mbnrl982s/womens-short-sleeve-size-chartscason-sara.jpg?rlkey=h9csr8hbgfsj90qhr8lxrdplf&amp;dl=0","Click to download SizeChart")</f>
      </c>
      <c r="C3877" s="0" t="inlineStr">
        <is>
          <t>Cason Women's Short Sleeve Shirt</t>
        </is>
      </c>
      <c r="D3877" s="1">
        <v>160515</v>
      </c>
      <c r="E3877" s="0" t="inlineStr">
        <is>
          <t>IOWA CASON W GD:160515C-L</t>
        </is>
      </c>
      <c r="F3877" s="2">
        <v>800160515068</v>
      </c>
      <c r="G3877" s="0" t="inlineStr">
        <is>
          <t>WOMENS</t>
        </is>
      </c>
      <c r="H3877" s="0" t="inlineStr">
        <is>
          <t>L</t>
        </is>
      </c>
      <c r="I3877" s="0">
        <v>29.99</v>
      </c>
      <c r="J3877" s="0">
        <v>134</v>
      </c>
    </row>
    <row r="3878" spans="1:10" customHeight="0">
      <c r="A3878" s="0">
        <f>HYPERLINK("https://dl.dropboxusercontent.com/scl/fi/ject1zos5s0369sxcj89q/mock-anf-ia-shirt-gd-v1-07.jpg?rlkey=izj81fws55vozzz14m68id6mc&amp;dl=0","Click to download Image")</f>
      </c>
      <c r="B3878" s="0">
        <f>HYPERLINK("https://dl.dropboxusercontent.com/scl/fi/kb4wf9yg8fk2mbnrl982s/womens-short-sleeve-size-chartscason-sara.jpg?rlkey=h9csr8hbgfsj90qhr8lxrdplf&amp;dl=0","Click to download SizeChart")</f>
      </c>
      <c r="C3878" s="0" t="inlineStr">
        <is>
          <t>Cason Women's Short Sleeve Shirt</t>
        </is>
      </c>
      <c r="D3878" s="1">
        <v>160515</v>
      </c>
      <c r="E3878" s="0" t="inlineStr">
        <is>
          <t>IOWA CASON W GD:160515D-XL</t>
        </is>
      </c>
      <c r="F3878" s="2">
        <v>800160515075</v>
      </c>
      <c r="G3878" s="0" t="inlineStr">
        <is>
          <t>WOMENS</t>
        </is>
      </c>
      <c r="H3878" s="0" t="inlineStr">
        <is>
          <t>XL</t>
        </is>
      </c>
      <c r="I3878" s="0">
        <v>29.99</v>
      </c>
      <c r="J3878" s="0">
        <v>57</v>
      </c>
    </row>
    <row r="3879" spans="1:10" customHeight="0">
      <c r="A3879" s="0">
        <f>HYPERLINK("https://dl.dropboxusercontent.com/scl/fi/ject1zos5s0369sxcj89q/mock-anf-ia-shirt-gd-v1-07.jpg?rlkey=izj81fws55vozzz14m68id6mc&amp;dl=0","Click to download Image")</f>
      </c>
      <c r="B3879" s="0">
        <f>HYPERLINK("https://dl.dropboxusercontent.com/scl/fi/kb4wf9yg8fk2mbnrl982s/womens-short-sleeve-size-chartscason-sara.jpg?rlkey=h9csr8hbgfsj90qhr8lxrdplf&amp;dl=0","Click to download SizeChart")</f>
      </c>
      <c r="C3879" s="0" t="inlineStr">
        <is>
          <t>Cason Women's Short Sleeve Shirt</t>
        </is>
      </c>
      <c r="D3879" s="1">
        <v>160515</v>
      </c>
      <c r="E3879" s="0" t="inlineStr">
        <is>
          <t>IOWA CASON W GD:160515E-2XL</t>
        </is>
      </c>
      <c r="F3879" s="2">
        <v>800160515082</v>
      </c>
      <c r="G3879" s="0" t="inlineStr">
        <is>
          <t>WOMENS</t>
        </is>
      </c>
      <c r="H3879" s="0" t="inlineStr">
        <is>
          <t>2XL</t>
        </is>
      </c>
      <c r="I3879" s="0">
        <v>31.99</v>
      </c>
      <c r="J3879" s="0">
        <v>37</v>
      </c>
    </row>
    <row r="3880" spans="1:10" customHeight="0">
      <c r="A3880" s="0">
        <f>HYPERLINK("https://dl.dropboxusercontent.com/scl/fi/ject1zos5s0369sxcj89q/mock-anf-ia-shirt-gd-v1-07.jpg?rlkey=izj81fws55vozzz14m68id6mc&amp;dl=0","Click to download Image")</f>
      </c>
      <c r="B3880" s="0">
        <f>HYPERLINK("https://dl.dropboxusercontent.com/scl/fi/kb4wf9yg8fk2mbnrl982s/womens-short-sleeve-size-chartscason-sara.jpg?rlkey=h9csr8hbgfsj90qhr8lxrdplf&amp;dl=0","Click to download SizeChart")</f>
      </c>
      <c r="C3880" s="0" t="inlineStr">
        <is>
          <t>Cason Women's Short Sleeve Shirt</t>
        </is>
      </c>
      <c r="D3880" s="1">
        <v>160515</v>
      </c>
      <c r="E3880" s="0" t="inlineStr">
        <is>
          <t>IOWA CASON W GD:160515F-3XL</t>
        </is>
      </c>
      <c r="F3880" s="2">
        <v>800160515099</v>
      </c>
      <c r="G3880" s="0" t="inlineStr">
        <is>
          <t>WOMENS</t>
        </is>
      </c>
      <c r="H3880" s="0" t="inlineStr">
        <is>
          <t>3XL</t>
        </is>
      </c>
      <c r="I3880" s="0">
        <v>31.99</v>
      </c>
      <c r="J3880" s="0">
        <v>10</v>
      </c>
    </row>
    <row r="3881" spans="1:10" customHeight="0">
      <c r="A3881" s="0">
        <f>HYPERLINK("https://dl.dropboxusercontent.com/scl/fi/oe7zb46qotyukjaoalxmn/iowa-cason-w-gd.jpg?rlkey=kssh1ai8kr1no9wuw5nxz90yp&amp;dl=0","Click to download Image")</f>
      </c>
      <c r="B3881" s="0">
        <f>HYPERLINK("https://dl.dropboxusercontent.com/scl/fi/kb4wf9yg8fk2mbnrl982s/womens-short-sleeve-size-chartscason-sara.jpg?rlkey=h9csr8hbgfsj90qhr8lxrdplf&amp;dl=0","Click to download SizeChart")</f>
      </c>
      <c r="C3881" s="0" t="inlineStr">
        <is>
          <t>Cason Women's Short Sleeve Shirt</t>
        </is>
      </c>
      <c r="D3881" s="1">
        <v>164362</v>
      </c>
      <c r="E3881" s="0" t="inlineStr">
        <is>
          <t>IOWA CASON W GD:164362A-S</t>
        </is>
      </c>
      <c r="F3881" s="2">
        <v>800164362040</v>
      </c>
      <c r="G3881" s="0" t="inlineStr">
        <is>
          <t>WOMENS</t>
        </is>
      </c>
      <c r="H3881" s="0" t="inlineStr">
        <is>
          <t>S</t>
        </is>
      </c>
      <c r="I3881" s="0">
        <v>29.99</v>
      </c>
      <c r="J3881" s="0">
        <v>55</v>
      </c>
    </row>
    <row r="3882" spans="1:10" customHeight="0">
      <c r="A3882" s="0">
        <f>HYPERLINK("https://dl.dropboxusercontent.com/scl/fi/oe7zb46qotyukjaoalxmn/iowa-cason-w-gd.jpg?rlkey=kssh1ai8kr1no9wuw5nxz90yp&amp;dl=0","Click to download Image")</f>
      </c>
      <c r="B3882" s="0">
        <f>HYPERLINK("https://dl.dropboxusercontent.com/scl/fi/kb4wf9yg8fk2mbnrl982s/womens-short-sleeve-size-chartscason-sara.jpg?rlkey=h9csr8hbgfsj90qhr8lxrdplf&amp;dl=0","Click to download SizeChart")</f>
      </c>
      <c r="C3882" s="0" t="inlineStr">
        <is>
          <t>Cason Women's Short Sleeve Shirt</t>
        </is>
      </c>
      <c r="D3882" s="1">
        <v>164362</v>
      </c>
      <c r="E3882" s="0" t="inlineStr">
        <is>
          <t>IOWA CASON W GD:164362B-M</t>
        </is>
      </c>
      <c r="F3882" s="2">
        <v>800164362057</v>
      </c>
      <c r="G3882" s="0" t="inlineStr">
        <is>
          <t>WOMENS</t>
        </is>
      </c>
      <c r="H3882" s="0" t="inlineStr">
        <is>
          <t>M</t>
        </is>
      </c>
      <c r="I3882" s="0">
        <v>29.99</v>
      </c>
      <c r="J3882" s="0">
        <v>106</v>
      </c>
    </row>
    <row r="3883" spans="1:10" customHeight="0">
      <c r="A3883" s="0">
        <f>HYPERLINK("https://dl.dropboxusercontent.com/scl/fi/oe7zb46qotyukjaoalxmn/iowa-cason-w-gd.jpg?rlkey=kssh1ai8kr1no9wuw5nxz90yp&amp;dl=0","Click to download Image")</f>
      </c>
      <c r="B3883" s="0">
        <f>HYPERLINK("https://dl.dropboxusercontent.com/scl/fi/kb4wf9yg8fk2mbnrl982s/womens-short-sleeve-size-chartscason-sara.jpg?rlkey=h9csr8hbgfsj90qhr8lxrdplf&amp;dl=0","Click to download SizeChart")</f>
      </c>
      <c r="C3883" s="0" t="inlineStr">
        <is>
          <t>Cason Women's Short Sleeve Shirt</t>
        </is>
      </c>
      <c r="D3883" s="1">
        <v>164362</v>
      </c>
      <c r="E3883" s="0" t="inlineStr">
        <is>
          <t>IOWA CASON W GD:164362C-L</t>
        </is>
      </c>
      <c r="F3883" s="2">
        <v>800164362064</v>
      </c>
      <c r="G3883" s="0" t="inlineStr">
        <is>
          <t>WOMENS</t>
        </is>
      </c>
      <c r="H3883" s="0" t="inlineStr">
        <is>
          <t>L</t>
        </is>
      </c>
      <c r="I3883" s="0">
        <v>29.99</v>
      </c>
      <c r="J3883" s="0">
        <v>106</v>
      </c>
    </row>
    <row r="3884" spans="1:10" customHeight="0">
      <c r="A3884" s="0">
        <f>HYPERLINK("https://dl.dropboxusercontent.com/scl/fi/oe7zb46qotyukjaoalxmn/iowa-cason-w-gd.jpg?rlkey=kssh1ai8kr1no9wuw5nxz90yp&amp;dl=0","Click to download Image")</f>
      </c>
      <c r="B3884" s="0">
        <f>HYPERLINK("https://dl.dropboxusercontent.com/scl/fi/kb4wf9yg8fk2mbnrl982s/womens-short-sleeve-size-chartscason-sara.jpg?rlkey=h9csr8hbgfsj90qhr8lxrdplf&amp;dl=0","Click to download SizeChart")</f>
      </c>
      <c r="C3884" s="0" t="inlineStr">
        <is>
          <t>Cason Women's Short Sleeve Shirt</t>
        </is>
      </c>
      <c r="D3884" s="1">
        <v>164362</v>
      </c>
      <c r="E3884" s="0" t="inlineStr">
        <is>
          <t>IOWA CASON W GD:164362D-XL</t>
        </is>
      </c>
      <c r="F3884" s="2">
        <v>800164362071</v>
      </c>
      <c r="G3884" s="0" t="inlineStr">
        <is>
          <t>WOMENS</t>
        </is>
      </c>
      <c r="H3884" s="0" t="inlineStr">
        <is>
          <t>XL</t>
        </is>
      </c>
      <c r="I3884" s="0">
        <v>29.99</v>
      </c>
      <c r="J3884" s="0">
        <v>57</v>
      </c>
    </row>
    <row r="3885" spans="1:10" customHeight="0">
      <c r="A3885" s="0">
        <f>HYPERLINK("https://dl.dropboxusercontent.com/scl/fi/oe7zb46qotyukjaoalxmn/iowa-cason-w-gd.jpg?rlkey=kssh1ai8kr1no9wuw5nxz90yp&amp;dl=0","Click to download Image")</f>
      </c>
      <c r="B3885" s="0">
        <f>HYPERLINK("https://dl.dropboxusercontent.com/scl/fi/kb4wf9yg8fk2mbnrl982s/womens-short-sleeve-size-chartscason-sara.jpg?rlkey=h9csr8hbgfsj90qhr8lxrdplf&amp;dl=0","Click to download SizeChart")</f>
      </c>
      <c r="C3885" s="0" t="inlineStr">
        <is>
          <t>Cason Women's Short Sleeve Shirt</t>
        </is>
      </c>
      <c r="D3885" s="1">
        <v>164362</v>
      </c>
      <c r="E3885" s="0" t="inlineStr">
        <is>
          <t>IOWA CASON W GD:164362E-2XL</t>
        </is>
      </c>
      <c r="F3885" s="2">
        <v>800164362088</v>
      </c>
      <c r="G3885" s="0" t="inlineStr">
        <is>
          <t>WOMENS</t>
        </is>
      </c>
      <c r="H3885" s="0" t="inlineStr">
        <is>
          <t>2XL</t>
        </is>
      </c>
      <c r="I3885" s="0">
        <v>31.99</v>
      </c>
      <c r="J3885" s="0">
        <v>37</v>
      </c>
    </row>
    <row r="3886" spans="1:10" customHeight="0">
      <c r="A3886" s="0">
        <f>HYPERLINK("https://dl.dropboxusercontent.com/scl/fi/oe7zb46qotyukjaoalxmn/iowa-cason-w-gd.jpg?rlkey=kssh1ai8kr1no9wuw5nxz90yp&amp;dl=0","Click to download Image")</f>
      </c>
      <c r="B3886" s="0">
        <f>HYPERLINK("https://dl.dropboxusercontent.com/scl/fi/kb4wf9yg8fk2mbnrl982s/womens-short-sleeve-size-chartscason-sara.jpg?rlkey=h9csr8hbgfsj90qhr8lxrdplf&amp;dl=0","Click to download SizeChart")</f>
      </c>
      <c r="C3886" s="0" t="inlineStr">
        <is>
          <t>Cason Women's Short Sleeve Shirt</t>
        </is>
      </c>
      <c r="D3886" s="1">
        <v>164362</v>
      </c>
      <c r="E3886" s="0" t="inlineStr">
        <is>
          <t>IOWA CASON W GD:164362F-3XL</t>
        </is>
      </c>
      <c r="F3886" s="2">
        <v>800164362095</v>
      </c>
      <c r="G3886" s="0" t="inlineStr">
        <is>
          <t>WOMENS</t>
        </is>
      </c>
      <c r="H3886" s="0" t="inlineStr">
        <is>
          <t>3XL</t>
        </is>
      </c>
      <c r="I3886" s="0">
        <v>31.99</v>
      </c>
      <c r="J3886" s="0">
        <v>10</v>
      </c>
    </row>
    <row r="3887" spans="1:10" customHeight="0">
      <c r="A3887" s="0">
        <f>HYPERLINK("https://dl.dropboxusercontent.com/scl/fi/hak0vo3rvmv6j1rkv7oik/mock-isu-cason-w-we-v1-02.jpg?rlkey=o2vplz2xzyfs1yabos112dwdf&amp;dl=0","Click to download Image")</f>
      </c>
      <c r="B3887" s="0">
        <f>HYPERLINK("https://dl.dropboxusercontent.com/scl/fi/kb4wf9yg8fk2mbnrl982s/womens-short-sleeve-size-chartscason-sara.jpg?rlkey=h9csr8hbgfsj90qhr8lxrdplf&amp;dl=0","Click to download SizeChart")</f>
      </c>
      <c r="C3887" s="0" t="inlineStr">
        <is>
          <t>Cason Women's Short Sleeve Shirt</t>
        </is>
      </c>
      <c r="D3887" s="1">
        <v>164365</v>
      </c>
      <c r="E3887" s="0" t="inlineStr">
        <is>
          <t>ISU CASON W WE:164365A-S</t>
        </is>
      </c>
      <c r="F3887" s="2">
        <v>801164365048</v>
      </c>
      <c r="G3887" s="0" t="inlineStr">
        <is>
          <t>WOMENS</t>
        </is>
      </c>
      <c r="H3887" s="0" t="inlineStr">
        <is>
          <t>S</t>
        </is>
      </c>
      <c r="I3887" s="0">
        <v>29.99</v>
      </c>
      <c r="J3887" s="0">
        <v>95</v>
      </c>
    </row>
    <row r="3888" spans="1:10" customHeight="0">
      <c r="A3888" s="0">
        <f>HYPERLINK("https://dl.dropboxusercontent.com/scl/fi/hak0vo3rvmv6j1rkv7oik/mock-isu-cason-w-we-v1-02.jpg?rlkey=o2vplz2xzyfs1yabos112dwdf&amp;dl=0","Click to download Image")</f>
      </c>
      <c r="B3888" s="0">
        <f>HYPERLINK("https://dl.dropboxusercontent.com/scl/fi/kb4wf9yg8fk2mbnrl982s/womens-short-sleeve-size-chartscason-sara.jpg?rlkey=h9csr8hbgfsj90qhr8lxrdplf&amp;dl=0","Click to download SizeChart")</f>
      </c>
      <c r="C3888" s="0" t="inlineStr">
        <is>
          <t>Cason Women's Short Sleeve Shirt</t>
        </is>
      </c>
      <c r="D3888" s="1">
        <v>164365</v>
      </c>
      <c r="E3888" s="0" t="inlineStr">
        <is>
          <t>ISU CASON W WE:164365B-M</t>
        </is>
      </c>
      <c r="F3888" s="2">
        <v>801164365055</v>
      </c>
      <c r="G3888" s="0" t="inlineStr">
        <is>
          <t>WOMENS</t>
        </is>
      </c>
      <c r="H3888" s="0" t="inlineStr">
        <is>
          <t>M</t>
        </is>
      </c>
      <c r="I3888" s="0">
        <v>29.99</v>
      </c>
      <c r="J3888" s="0">
        <v>95</v>
      </c>
    </row>
    <row r="3889" spans="1:10" customHeight="0">
      <c r="A3889" s="0">
        <f>HYPERLINK("https://dl.dropboxusercontent.com/scl/fi/hak0vo3rvmv6j1rkv7oik/mock-isu-cason-w-we-v1-02.jpg?rlkey=o2vplz2xzyfs1yabos112dwdf&amp;dl=0","Click to download Image")</f>
      </c>
      <c r="B3889" s="0">
        <f>HYPERLINK("https://dl.dropboxusercontent.com/scl/fi/kb4wf9yg8fk2mbnrl982s/womens-short-sleeve-size-chartscason-sara.jpg?rlkey=h9csr8hbgfsj90qhr8lxrdplf&amp;dl=0","Click to download SizeChart")</f>
      </c>
      <c r="C3889" s="0" t="inlineStr">
        <is>
          <t>Cason Women's Short Sleeve Shirt</t>
        </is>
      </c>
      <c r="D3889" s="1">
        <v>164365</v>
      </c>
      <c r="E3889" s="0" t="inlineStr">
        <is>
          <t>ISU CASON W WE:164365C-L</t>
        </is>
      </c>
      <c r="F3889" s="2">
        <v>801164365062</v>
      </c>
      <c r="G3889" s="0" t="inlineStr">
        <is>
          <t>WOMENS</t>
        </is>
      </c>
      <c r="H3889" s="0" t="inlineStr">
        <is>
          <t>L</t>
        </is>
      </c>
      <c r="I3889" s="0">
        <v>29.99</v>
      </c>
      <c r="J3889" s="0">
        <v>95</v>
      </c>
    </row>
    <row r="3890" spans="1:10" customHeight="0">
      <c r="A3890" s="0">
        <f>HYPERLINK("https://dl.dropboxusercontent.com/scl/fi/hak0vo3rvmv6j1rkv7oik/mock-isu-cason-w-we-v1-02.jpg?rlkey=o2vplz2xzyfs1yabos112dwdf&amp;dl=0","Click to download Image")</f>
      </c>
      <c r="B3890" s="0">
        <f>HYPERLINK("https://dl.dropboxusercontent.com/scl/fi/kb4wf9yg8fk2mbnrl982s/womens-short-sleeve-size-chartscason-sara.jpg?rlkey=h9csr8hbgfsj90qhr8lxrdplf&amp;dl=0","Click to download SizeChart")</f>
      </c>
      <c r="C3890" s="0" t="inlineStr">
        <is>
          <t>Cason Women's Short Sleeve Shirt</t>
        </is>
      </c>
      <c r="D3890" s="1">
        <v>164365</v>
      </c>
      <c r="E3890" s="0" t="inlineStr">
        <is>
          <t>ISU CASON W WE:164365D-XL</t>
        </is>
      </c>
      <c r="F3890" s="2">
        <v>801164365079</v>
      </c>
      <c r="G3890" s="0" t="inlineStr">
        <is>
          <t>WOMENS</t>
        </is>
      </c>
      <c r="H3890" s="0" t="inlineStr">
        <is>
          <t>XL</t>
        </is>
      </c>
      <c r="I3890" s="0">
        <v>29.99</v>
      </c>
      <c r="J3890" s="0">
        <v>95</v>
      </c>
    </row>
    <row r="3891" spans="1:10" customHeight="0">
      <c r="A3891" s="0">
        <f>HYPERLINK("https://dl.dropboxusercontent.com/scl/fi/hak0vo3rvmv6j1rkv7oik/mock-isu-cason-w-we-v1-02.jpg?rlkey=o2vplz2xzyfs1yabos112dwdf&amp;dl=0","Click to download Image")</f>
      </c>
      <c r="B3891" s="0">
        <f>HYPERLINK("https://dl.dropboxusercontent.com/scl/fi/kb4wf9yg8fk2mbnrl982s/womens-short-sleeve-size-chartscason-sara.jpg?rlkey=h9csr8hbgfsj90qhr8lxrdplf&amp;dl=0","Click to download SizeChart")</f>
      </c>
      <c r="C3891" s="0" t="inlineStr">
        <is>
          <t>Cason Women's Short Sleeve Shirt</t>
        </is>
      </c>
      <c r="D3891" s="1">
        <v>164365</v>
      </c>
      <c r="E3891" s="0" t="inlineStr">
        <is>
          <t>ISU CASON W WE:164365E-2XL</t>
        </is>
      </c>
      <c r="F3891" s="2">
        <v>801164365086</v>
      </c>
      <c r="G3891" s="0" t="inlineStr">
        <is>
          <t>WOMENS</t>
        </is>
      </c>
      <c r="H3891" s="0" t="inlineStr">
        <is>
          <t>2XL</t>
        </is>
      </c>
      <c r="I3891" s="0">
        <v>31.99</v>
      </c>
      <c r="J3891" s="0">
        <v>83</v>
      </c>
    </row>
    <row r="3892" spans="1:10" customHeight="0">
      <c r="A3892" s="0">
        <f>HYPERLINK("https://dl.dropboxusercontent.com/scl/fi/hak0vo3rvmv6j1rkv7oik/mock-isu-cason-w-we-v1-02.jpg?rlkey=o2vplz2xzyfs1yabos112dwdf&amp;dl=0","Click to download Image")</f>
      </c>
      <c r="B3892" s="0">
        <f>HYPERLINK("https://dl.dropboxusercontent.com/scl/fi/kb4wf9yg8fk2mbnrl982s/womens-short-sleeve-size-chartscason-sara.jpg?rlkey=h9csr8hbgfsj90qhr8lxrdplf&amp;dl=0","Click to download SizeChart")</f>
      </c>
      <c r="C3892" s="0" t="inlineStr">
        <is>
          <t>Cason Women's Short Sleeve Shirt</t>
        </is>
      </c>
      <c r="D3892" s="1">
        <v>164365</v>
      </c>
      <c r="E3892" s="0" t="inlineStr">
        <is>
          <t>ISU CASON W WE:164365F-3XL</t>
        </is>
      </c>
      <c r="F3892" s="2">
        <v>801164365093</v>
      </c>
      <c r="G3892" s="0" t="inlineStr">
        <is>
          <t>WOMENS</t>
        </is>
      </c>
      <c r="H3892" s="0" t="inlineStr">
        <is>
          <t>3XL</t>
        </is>
      </c>
      <c r="I3892" s="0">
        <v>31.99</v>
      </c>
      <c r="J3892" s="0">
        <v>30</v>
      </c>
    </row>
    <row r="3893" spans="1:10" customHeight="0">
      <c r="A3893" s="0">
        <f>HYPERLINK("https://dl.dropboxusercontent.com/scl/fi/mk4ah8rxit56omvuq3r6p/mock-iowa-cason-w-bk-v1-02.jpg?rlkey=qwjy651avsv349wap4jpkj31m&amp;dl=0","Click to download Image")</f>
      </c>
      <c r="B3893" s="0">
        <f>HYPERLINK("https://dl.dropboxusercontent.com/scl/fi/kb4wf9yg8fk2mbnrl982s/womens-short-sleeve-size-chartscason-sara.jpg?rlkey=h9csr8hbgfsj90qhr8lxrdplf&amp;dl=0","Click to download SizeChart")</f>
      </c>
      <c r="C3893" s="0" t="inlineStr">
        <is>
          <t>Cason Women's Short Sleeve Shirt</t>
        </is>
      </c>
      <c r="D3893" s="1">
        <v>164363</v>
      </c>
      <c r="E3893" s="0" t="inlineStr">
        <is>
          <t>IOWA CASON W BK:164363A-S</t>
        </is>
      </c>
      <c r="F3893" s="2">
        <v>800164363047</v>
      </c>
      <c r="G3893" s="0" t="inlineStr">
        <is>
          <t>WOMENS</t>
        </is>
      </c>
      <c r="H3893" s="0" t="inlineStr">
        <is>
          <t>S</t>
        </is>
      </c>
      <c r="I3893" s="0">
        <v>29.99</v>
      </c>
      <c r="J3893" s="0">
        <v>1</v>
      </c>
    </row>
    <row r="3894" spans="1:10" customHeight="0">
      <c r="A3894" s="0">
        <f>HYPERLINK("https://dl.dropboxusercontent.com/scl/fi/mk4ah8rxit56omvuq3r6p/mock-iowa-cason-w-bk-v1-02.jpg?rlkey=qwjy651avsv349wap4jpkj31m&amp;dl=0","Click to download Image")</f>
      </c>
      <c r="B3894" s="0">
        <f>HYPERLINK("https://dl.dropboxusercontent.com/scl/fi/kb4wf9yg8fk2mbnrl982s/womens-short-sleeve-size-chartscason-sara.jpg?rlkey=h9csr8hbgfsj90qhr8lxrdplf&amp;dl=0","Click to download SizeChart")</f>
      </c>
      <c r="C3894" s="0" t="inlineStr">
        <is>
          <t>Cason Women's Short Sleeve Shirt</t>
        </is>
      </c>
      <c r="D3894" s="1">
        <v>164363</v>
      </c>
      <c r="E3894" s="0" t="inlineStr">
        <is>
          <t>IOWA CASON W BK:164363B-M</t>
        </is>
      </c>
      <c r="F3894" s="2">
        <v>800164363054</v>
      </c>
      <c r="G3894" s="0" t="inlineStr">
        <is>
          <t>WOMENS</t>
        </is>
      </c>
      <c r="H3894" s="0" t="inlineStr">
        <is>
          <t>M</t>
        </is>
      </c>
      <c r="I3894" s="0">
        <v>29.99</v>
      </c>
      <c r="J3894" s="0">
        <v>121</v>
      </c>
    </row>
    <row r="3895" spans="1:10" customHeight="0">
      <c r="A3895" s="0">
        <f>HYPERLINK("https://dl.dropboxusercontent.com/scl/fi/mk4ah8rxit56omvuq3r6p/mock-iowa-cason-w-bk-v1-02.jpg?rlkey=qwjy651avsv349wap4jpkj31m&amp;dl=0","Click to download Image")</f>
      </c>
      <c r="B3895" s="0">
        <f>HYPERLINK("https://dl.dropboxusercontent.com/scl/fi/kb4wf9yg8fk2mbnrl982s/womens-short-sleeve-size-chartscason-sara.jpg?rlkey=h9csr8hbgfsj90qhr8lxrdplf&amp;dl=0","Click to download SizeChart")</f>
      </c>
      <c r="C3895" s="0" t="inlineStr">
        <is>
          <t>Cason Women's Short Sleeve Shirt</t>
        </is>
      </c>
      <c r="D3895" s="1">
        <v>164363</v>
      </c>
      <c r="E3895" s="0" t="inlineStr">
        <is>
          <t>IOWA CASON W BK:164363C-L</t>
        </is>
      </c>
      <c r="F3895" s="2">
        <v>800164363061</v>
      </c>
      <c r="G3895" s="0" t="inlineStr">
        <is>
          <t>WOMENS</t>
        </is>
      </c>
      <c r="H3895" s="0" t="inlineStr">
        <is>
          <t>L</t>
        </is>
      </c>
      <c r="I3895" s="0">
        <v>29.99</v>
      </c>
      <c r="J3895" s="0">
        <v>108</v>
      </c>
    </row>
    <row r="3896" spans="1:10" customHeight="0">
      <c r="A3896" s="0">
        <f>HYPERLINK("https://dl.dropboxusercontent.com/scl/fi/mk4ah8rxit56omvuq3r6p/mock-iowa-cason-w-bk-v1-02.jpg?rlkey=qwjy651avsv349wap4jpkj31m&amp;dl=0","Click to download Image")</f>
      </c>
      <c r="B3896" s="0">
        <f>HYPERLINK("https://dl.dropboxusercontent.com/scl/fi/kb4wf9yg8fk2mbnrl982s/womens-short-sleeve-size-chartscason-sara.jpg?rlkey=h9csr8hbgfsj90qhr8lxrdplf&amp;dl=0","Click to download SizeChart")</f>
      </c>
      <c r="C3896" s="0" t="inlineStr">
        <is>
          <t>Cason Women's Short Sleeve Shirt</t>
        </is>
      </c>
      <c r="D3896" s="1">
        <v>164363</v>
      </c>
      <c r="E3896" s="0" t="inlineStr">
        <is>
          <t>IOWA CASON W BK:164363D-XL</t>
        </is>
      </c>
      <c r="F3896" s="2">
        <v>800164363078</v>
      </c>
      <c r="G3896" s="0" t="inlineStr">
        <is>
          <t>WOMENS</t>
        </is>
      </c>
      <c r="H3896" s="0" t="inlineStr">
        <is>
          <t>XL</t>
        </is>
      </c>
      <c r="I3896" s="0">
        <v>29.99</v>
      </c>
      <c r="J3896" s="0">
        <v>27</v>
      </c>
    </row>
    <row r="3897" spans="1:10" customHeight="0">
      <c r="A3897" s="0">
        <f>HYPERLINK("https://dl.dropboxusercontent.com/scl/fi/mk4ah8rxit56omvuq3r6p/mock-iowa-cason-w-bk-v1-02.jpg?rlkey=qwjy651avsv349wap4jpkj31m&amp;dl=0","Click to download Image")</f>
      </c>
      <c r="B3897" s="0">
        <f>HYPERLINK("https://dl.dropboxusercontent.com/scl/fi/kb4wf9yg8fk2mbnrl982s/womens-short-sleeve-size-chartscason-sara.jpg?rlkey=h9csr8hbgfsj90qhr8lxrdplf&amp;dl=0","Click to download SizeChart")</f>
      </c>
      <c r="C3897" s="0" t="inlineStr">
        <is>
          <t>Cason Women's Short Sleeve Shirt</t>
        </is>
      </c>
      <c r="D3897" s="1">
        <v>164363</v>
      </c>
      <c r="E3897" s="0" t="inlineStr">
        <is>
          <t>IOWA CASON W BK:164363E-2XL</t>
        </is>
      </c>
      <c r="F3897" s="2">
        <v>800164363085</v>
      </c>
      <c r="G3897" s="0" t="inlineStr">
        <is>
          <t>WOMENS</t>
        </is>
      </c>
      <c r="H3897" s="0" t="inlineStr">
        <is>
          <t>2XL</t>
        </is>
      </c>
      <c r="I3897" s="0">
        <v>31.99</v>
      </c>
      <c r="J3897" s="0">
        <v>23</v>
      </c>
    </row>
    <row r="3898" spans="1:10" customHeight="0">
      <c r="A3898" s="0">
        <f>HYPERLINK("https://dl.dropboxusercontent.com/scl/fi/mk4ah8rxit56omvuq3r6p/mock-iowa-cason-w-bk-v1-02.jpg?rlkey=qwjy651avsv349wap4jpkj31m&amp;dl=0","Click to download Image")</f>
      </c>
      <c r="B3898" s="0">
        <f>HYPERLINK("https://dl.dropboxusercontent.com/scl/fi/kb4wf9yg8fk2mbnrl982s/womens-short-sleeve-size-chartscason-sara.jpg?rlkey=h9csr8hbgfsj90qhr8lxrdplf&amp;dl=0","Click to download SizeChart")</f>
      </c>
      <c r="C3898" s="0" t="inlineStr">
        <is>
          <t>Cason Women's Short Sleeve Shirt</t>
        </is>
      </c>
      <c r="D3898" s="1">
        <v>164363</v>
      </c>
      <c r="E3898" s="0" t="inlineStr">
        <is>
          <t>IOWA CASON W BK:164363F-3XL</t>
        </is>
      </c>
      <c r="F3898" s="2">
        <v>800164363092</v>
      </c>
      <c r="G3898" s="0" t="inlineStr">
        <is>
          <t>WOMENS</t>
        </is>
      </c>
      <c r="H3898" s="0" t="inlineStr">
        <is>
          <t>3XL</t>
        </is>
      </c>
      <c r="I3898" s="0">
        <v>31.99</v>
      </c>
      <c r="J3898" s="0">
        <v>13</v>
      </c>
    </row>
    <row r="3899" spans="1:10" customHeight="0">
      <c r="A3899" s="0">
        <f>HYPERLINK("https://dl.dropboxusercontent.com/scl/fi/5z9wvk1folq909odab03p/mock-iowapinkout-cason-w-pk-071326-v1-e1-copy-02.jpg?rlkey=3ox4t61kb8gfsevnhztk46uku&amp;dl=0","Click to download Image")</f>
      </c>
      <c r="B3899" s="0">
        <f>HYPERLINK("https://dl.dropboxusercontent.com/scl/fi/kb4wf9yg8fk2mbnrl982s/womens-short-sleeve-size-chartscason-sara.jpg?rlkey=h9csr8hbgfsj90qhr8lxrdplf&amp;dl=0","Click to download SizeChart")</f>
      </c>
      <c r="C3899" s="0" t="inlineStr">
        <is>
          <t>Cason Women's Short Sleeve Shirt</t>
        </is>
      </c>
      <c r="D3899" s="1">
        <v>164428</v>
      </c>
      <c r="E3899" s="0" t="inlineStr">
        <is>
          <t>IOWA CASON W PK:164428A-S</t>
        </is>
      </c>
      <c r="F3899" s="2">
        <v>800164428043</v>
      </c>
      <c r="G3899" s="0" t="inlineStr">
        <is>
          <t>WOMENS</t>
        </is>
      </c>
      <c r="H3899" s="0" t="inlineStr">
        <is>
          <t>S</t>
        </is>
      </c>
      <c r="I3899" s="0">
        <v>29.99</v>
      </c>
      <c r="J3899" s="0">
        <v>87</v>
      </c>
    </row>
    <row r="3900" spans="1:10" customHeight="0">
      <c r="A3900" s="0">
        <f>HYPERLINK("https://dl.dropboxusercontent.com/scl/fi/5z9wvk1folq909odab03p/mock-iowapinkout-cason-w-pk-071326-v1-e1-copy-02.jpg?rlkey=3ox4t61kb8gfsevnhztk46uku&amp;dl=0","Click to download Image")</f>
      </c>
      <c r="B3900" s="0">
        <f>HYPERLINK("https://dl.dropboxusercontent.com/scl/fi/kb4wf9yg8fk2mbnrl982s/womens-short-sleeve-size-chartscason-sara.jpg?rlkey=h9csr8hbgfsj90qhr8lxrdplf&amp;dl=0","Click to download SizeChart")</f>
      </c>
      <c r="C3900" s="0" t="inlineStr">
        <is>
          <t>Cason Women's Short Sleeve Shirt</t>
        </is>
      </c>
      <c r="D3900" s="1">
        <v>164428</v>
      </c>
      <c r="E3900" s="0" t="inlineStr">
        <is>
          <t>IOWA CASON W PK:164428B-M</t>
        </is>
      </c>
      <c r="F3900" s="2">
        <v>800164428050</v>
      </c>
      <c r="G3900" s="0" t="inlineStr">
        <is>
          <t>WOMENS</t>
        </is>
      </c>
      <c r="H3900" s="0" t="inlineStr">
        <is>
          <t>M</t>
        </is>
      </c>
      <c r="I3900" s="0">
        <v>29.99</v>
      </c>
      <c r="J3900" s="0">
        <v>87</v>
      </c>
    </row>
    <row r="3901" spans="1:10" customHeight="0">
      <c r="A3901" s="0">
        <f>HYPERLINK("https://dl.dropboxusercontent.com/scl/fi/5z9wvk1folq909odab03p/mock-iowapinkout-cason-w-pk-071326-v1-e1-copy-02.jpg?rlkey=3ox4t61kb8gfsevnhztk46uku&amp;dl=0","Click to download Image")</f>
      </c>
      <c r="B3901" s="0">
        <f>HYPERLINK("https://dl.dropboxusercontent.com/scl/fi/kb4wf9yg8fk2mbnrl982s/womens-short-sleeve-size-chartscason-sara.jpg?rlkey=h9csr8hbgfsj90qhr8lxrdplf&amp;dl=0","Click to download SizeChart")</f>
      </c>
      <c r="C3901" s="0" t="inlineStr">
        <is>
          <t>Cason Women's Short Sleeve Shirt</t>
        </is>
      </c>
      <c r="D3901" s="1">
        <v>164428</v>
      </c>
      <c r="E3901" s="0" t="inlineStr">
        <is>
          <t>IOWA CASON W PK:164428C-L</t>
        </is>
      </c>
      <c r="F3901" s="2">
        <v>800164428067</v>
      </c>
      <c r="G3901" s="0" t="inlineStr">
        <is>
          <t>WOMENS</t>
        </is>
      </c>
      <c r="H3901" s="0" t="inlineStr">
        <is>
          <t>L</t>
        </is>
      </c>
      <c r="I3901" s="0">
        <v>29.99</v>
      </c>
      <c r="J3901" s="0">
        <v>87</v>
      </c>
    </row>
    <row r="3902" spans="1:10" customHeight="0">
      <c r="A3902" s="0">
        <f>HYPERLINK("https://dl.dropboxusercontent.com/scl/fi/5z9wvk1folq909odab03p/mock-iowapinkout-cason-w-pk-071326-v1-e1-copy-02.jpg?rlkey=3ox4t61kb8gfsevnhztk46uku&amp;dl=0","Click to download Image")</f>
      </c>
      <c r="B3902" s="0">
        <f>HYPERLINK("https://dl.dropboxusercontent.com/scl/fi/kb4wf9yg8fk2mbnrl982s/womens-short-sleeve-size-chartscason-sara.jpg?rlkey=h9csr8hbgfsj90qhr8lxrdplf&amp;dl=0","Click to download SizeChart")</f>
      </c>
      <c r="C3902" s="0" t="inlineStr">
        <is>
          <t>Cason Women's Short Sleeve Shirt</t>
        </is>
      </c>
      <c r="D3902" s="1">
        <v>164428</v>
      </c>
      <c r="E3902" s="0" t="inlineStr">
        <is>
          <t>IOWA CASON W PK:164428D-XL</t>
        </is>
      </c>
      <c r="F3902" s="2">
        <v>800164428074</v>
      </c>
      <c r="G3902" s="0" t="inlineStr">
        <is>
          <t>WOMENS</t>
        </is>
      </c>
      <c r="H3902" s="0" t="inlineStr">
        <is>
          <t>XL</t>
        </is>
      </c>
      <c r="I3902" s="0">
        <v>29.99</v>
      </c>
      <c r="J3902" s="0">
        <v>50</v>
      </c>
    </row>
    <row r="3903" spans="1:10" customHeight="0">
      <c r="A3903" s="0">
        <f>HYPERLINK("https://dl.dropboxusercontent.com/scl/fi/5z9wvk1folq909odab03p/mock-iowapinkout-cason-w-pk-071326-v1-e1-copy-02.jpg?rlkey=3ox4t61kb8gfsevnhztk46uku&amp;dl=0","Click to download Image")</f>
      </c>
      <c r="B3903" s="0">
        <f>HYPERLINK("https://dl.dropboxusercontent.com/scl/fi/kb4wf9yg8fk2mbnrl982s/womens-short-sleeve-size-chartscason-sara.jpg?rlkey=h9csr8hbgfsj90qhr8lxrdplf&amp;dl=0","Click to download SizeChart")</f>
      </c>
      <c r="C3903" s="0" t="inlineStr">
        <is>
          <t>Cason Women's Short Sleeve Shirt</t>
        </is>
      </c>
      <c r="D3903" s="1">
        <v>164428</v>
      </c>
      <c r="E3903" s="0" t="inlineStr">
        <is>
          <t>IOWA CASON W PK:164428E-2XL</t>
        </is>
      </c>
      <c r="F3903" s="2">
        <v>800164428081</v>
      </c>
      <c r="G3903" s="0" t="inlineStr">
        <is>
          <t>WOMENS</t>
        </is>
      </c>
      <c r="H3903" s="0" t="inlineStr">
        <is>
          <t>2XL</t>
        </is>
      </c>
      <c r="I3903" s="0">
        <v>31.99</v>
      </c>
      <c r="J3903" s="0">
        <v>25</v>
      </c>
    </row>
    <row r="3904" spans="1:10" customHeight="0">
      <c r="A3904" s="0">
        <f>HYPERLINK("https://dl.dropboxusercontent.com/scl/fi/5z9wvk1folq909odab03p/mock-iowapinkout-cason-w-pk-071326-v1-e1-copy-02.jpg?rlkey=3ox4t61kb8gfsevnhztk46uku&amp;dl=0","Click to download Image")</f>
      </c>
      <c r="B3904" s="0">
        <f>HYPERLINK("https://dl.dropboxusercontent.com/scl/fi/kb4wf9yg8fk2mbnrl982s/womens-short-sleeve-size-chartscason-sara.jpg?rlkey=h9csr8hbgfsj90qhr8lxrdplf&amp;dl=0","Click to download SizeChart")</f>
      </c>
      <c r="C3904" s="0" t="inlineStr">
        <is>
          <t>Cason Women's Short Sleeve Shirt</t>
        </is>
      </c>
      <c r="D3904" s="1">
        <v>164428</v>
      </c>
      <c r="E3904" s="0" t="inlineStr">
        <is>
          <t>IOWA CASON W PK:164428F-3XL</t>
        </is>
      </c>
      <c r="F3904" s="2">
        <v>800164428098</v>
      </c>
      <c r="G3904" s="0" t="inlineStr">
        <is>
          <t>WOMENS</t>
        </is>
      </c>
      <c r="H3904" s="0" t="inlineStr">
        <is>
          <t>3XL</t>
        </is>
      </c>
      <c r="I3904" s="0">
        <v>31.99</v>
      </c>
      <c r="J3904" s="0">
        <v>25</v>
      </c>
    </row>
    <row r="3905" spans="1:10" customHeight="0">
      <c r="A3905" s="0">
        <f>HYPERLINK("https://dl.dropboxusercontent.com/scl/fi/6x24kfe86od48sjfrcvig/mock-anf-ia-shirt-gd-v1-08.jpg?rlkey=17cukselg6eif1aknulp2q1st&amp;dl=0","Click to download Image")</f>
      </c>
      <c r="B3905" s="0">
        <f>HYPERLINK("https://dl.dropboxusercontent.com/scl/fi/loil5r327xowyc7iyyy52/womens-long-sleeve-size-chartsslate.jpg?rlkey=dx0vc4vuhwppknab7rw91ve24&amp;dl=0","Click to download SizeChart")</f>
      </c>
      <c r="C3905" s="0" t="inlineStr">
        <is>
          <t>Slate Women's ANF Long Sleeve Shirt</t>
        </is>
      </c>
      <c r="D3905" s="1">
        <v>160516</v>
      </c>
      <c r="E3905" s="0" t="inlineStr">
        <is>
          <t>IOWA SLATEL W GD:160516A-S</t>
        </is>
      </c>
      <c r="F3905" s="2">
        <v>800160516041</v>
      </c>
      <c r="G3905" s="0" t="inlineStr">
        <is>
          <t>MENS</t>
        </is>
      </c>
      <c r="H3905" s="0" t="inlineStr">
        <is>
          <t>S</t>
        </is>
      </c>
      <c r="I3905" s="0">
        <v>32.99</v>
      </c>
      <c r="J3905" s="0">
        <v>16</v>
      </c>
    </row>
    <row r="3906" spans="1:10" customHeight="0">
      <c r="A3906" s="0">
        <f>HYPERLINK("https://dl.dropboxusercontent.com/scl/fi/6x24kfe86od48sjfrcvig/mock-anf-ia-shirt-gd-v1-08.jpg?rlkey=17cukselg6eif1aknulp2q1st&amp;dl=0","Click to download Image")</f>
      </c>
      <c r="B3906" s="0">
        <f>HYPERLINK("https://dl.dropboxusercontent.com/scl/fi/loil5r327xowyc7iyyy52/womens-long-sleeve-size-chartsslate.jpg?rlkey=dx0vc4vuhwppknab7rw91ve24&amp;dl=0","Click to download SizeChart")</f>
      </c>
      <c r="C3906" s="0" t="inlineStr">
        <is>
          <t>Slate Women's ANF Long Sleeve Shirt</t>
        </is>
      </c>
      <c r="D3906" s="1">
        <v>160516</v>
      </c>
      <c r="E3906" s="0" t="inlineStr">
        <is>
          <t>IOWA SLATEL W GD:160516B-M</t>
        </is>
      </c>
      <c r="F3906" s="2">
        <v>800160516058</v>
      </c>
      <c r="G3906" s="0" t="inlineStr">
        <is>
          <t>MENS</t>
        </is>
      </c>
      <c r="H3906" s="0" t="inlineStr">
        <is>
          <t>M</t>
        </is>
      </c>
      <c r="I3906" s="0">
        <v>32.99</v>
      </c>
      <c r="J3906" s="0">
        <v>35</v>
      </c>
    </row>
    <row r="3907" spans="1:10" customHeight="0">
      <c r="A3907" s="0">
        <f>HYPERLINK("https://dl.dropboxusercontent.com/scl/fi/6x24kfe86od48sjfrcvig/mock-anf-ia-shirt-gd-v1-08.jpg?rlkey=17cukselg6eif1aknulp2q1st&amp;dl=0","Click to download Image")</f>
      </c>
      <c r="B3907" s="0">
        <f>HYPERLINK("https://dl.dropboxusercontent.com/scl/fi/loil5r327xowyc7iyyy52/womens-long-sleeve-size-chartsslate.jpg?rlkey=dx0vc4vuhwppknab7rw91ve24&amp;dl=0","Click to download SizeChart")</f>
      </c>
      <c r="C3907" s="0" t="inlineStr">
        <is>
          <t>Slate Women's ANF Long Sleeve Shirt</t>
        </is>
      </c>
      <c r="D3907" s="1">
        <v>160516</v>
      </c>
      <c r="E3907" s="0" t="inlineStr">
        <is>
          <t>IOWA SLATEL W GD:160516C-L</t>
        </is>
      </c>
      <c r="F3907" s="2">
        <v>800160516065</v>
      </c>
      <c r="G3907" s="0" t="inlineStr">
        <is>
          <t>MENS</t>
        </is>
      </c>
      <c r="H3907" s="0" t="inlineStr">
        <is>
          <t>L</t>
        </is>
      </c>
      <c r="I3907" s="0">
        <v>32.99</v>
      </c>
      <c r="J3907" s="0">
        <v>35</v>
      </c>
    </row>
    <row r="3908" spans="1:10" customHeight="0">
      <c r="A3908" s="0">
        <f>HYPERLINK("https://dl.dropboxusercontent.com/scl/fi/6x24kfe86od48sjfrcvig/mock-anf-ia-shirt-gd-v1-08.jpg?rlkey=17cukselg6eif1aknulp2q1st&amp;dl=0","Click to download Image")</f>
      </c>
      <c r="B3908" s="0">
        <f>HYPERLINK("https://dl.dropboxusercontent.com/scl/fi/loil5r327xowyc7iyyy52/womens-long-sleeve-size-chartsslate.jpg?rlkey=dx0vc4vuhwppknab7rw91ve24&amp;dl=0","Click to download SizeChart")</f>
      </c>
      <c r="C3908" s="0" t="inlineStr">
        <is>
          <t>Slate Women's ANF Long Sleeve Shirt</t>
        </is>
      </c>
      <c r="D3908" s="1">
        <v>160516</v>
      </c>
      <c r="E3908" s="0" t="inlineStr">
        <is>
          <t>IOWA SLATEL W GD:160516D-XL</t>
        </is>
      </c>
      <c r="F3908" s="2">
        <v>800160516072</v>
      </c>
      <c r="G3908" s="0" t="inlineStr">
        <is>
          <t>MENS</t>
        </is>
      </c>
      <c r="H3908" s="0" t="inlineStr">
        <is>
          <t>XL</t>
        </is>
      </c>
      <c r="I3908" s="0">
        <v>32.99</v>
      </c>
      <c r="J3908" s="0">
        <v>17</v>
      </c>
    </row>
    <row r="3909" spans="1:10" customHeight="0">
      <c r="A3909" s="0">
        <f>HYPERLINK("https://dl.dropboxusercontent.com/scl/fi/6x24kfe86od48sjfrcvig/mock-anf-ia-shirt-gd-v1-08.jpg?rlkey=17cukselg6eif1aknulp2q1st&amp;dl=0","Click to download Image")</f>
      </c>
      <c r="B3909" s="0">
        <f>HYPERLINK("https://dl.dropboxusercontent.com/scl/fi/loil5r327xowyc7iyyy52/womens-long-sleeve-size-chartsslate.jpg?rlkey=dx0vc4vuhwppknab7rw91ve24&amp;dl=0","Click to download SizeChart")</f>
      </c>
      <c r="C3909" s="0" t="inlineStr">
        <is>
          <t>Slate Women's ANF Long Sleeve Shirt</t>
        </is>
      </c>
      <c r="D3909" s="1">
        <v>160516</v>
      </c>
      <c r="E3909" s="0" t="inlineStr">
        <is>
          <t>IOWA SLATEL W GD:160516E-2XL</t>
        </is>
      </c>
      <c r="F3909" s="2">
        <v>800160516089</v>
      </c>
      <c r="G3909" s="0" t="inlineStr">
        <is>
          <t>MENS</t>
        </is>
      </c>
      <c r="H3909" s="0" t="inlineStr">
        <is>
          <t>2XL</t>
        </is>
      </c>
      <c r="I3909" s="0">
        <v>34.99</v>
      </c>
      <c r="J3909" s="0">
        <v>8</v>
      </c>
    </row>
    <row r="3910" spans="1:10" customHeight="0">
      <c r="A3910" s="0">
        <f>HYPERLINK("https://dl.dropboxusercontent.com/scl/fi/6x24kfe86od48sjfrcvig/mock-anf-ia-shirt-gd-v1-08.jpg?rlkey=17cukselg6eif1aknulp2q1st&amp;dl=0","Click to download Image")</f>
      </c>
      <c r="B3910" s="0">
        <f>HYPERLINK("https://dl.dropboxusercontent.com/scl/fi/loil5r327xowyc7iyyy52/womens-long-sleeve-size-chartsslate.jpg?rlkey=dx0vc4vuhwppknab7rw91ve24&amp;dl=0","Click to download SizeChart")</f>
      </c>
      <c r="C3910" s="0" t="inlineStr">
        <is>
          <t>Slate Women's ANF Long Sleeve Shirt</t>
        </is>
      </c>
      <c r="D3910" s="1">
        <v>160516</v>
      </c>
      <c r="E3910" s="0" t="inlineStr">
        <is>
          <t>IOWA SLATEL W GD:160516F-3XL</t>
        </is>
      </c>
      <c r="F3910" s="2">
        <v>800160516096</v>
      </c>
      <c r="G3910" s="0" t="inlineStr">
        <is>
          <t>MENS</t>
        </is>
      </c>
      <c r="H3910" s="0" t="inlineStr">
        <is>
          <t>3XL</t>
        </is>
      </c>
      <c r="I3910" s="0">
        <v>34.99</v>
      </c>
      <c r="J3910" s="0">
        <v>3</v>
      </c>
    </row>
    <row r="3911" spans="1:10" customHeight="0">
      <c r="A3911" s="0">
        <f>HYPERLINK("https://dl.dropboxusercontent.com/scl/fi/nooc51tryi5fzj0icxy4i/mock-anf-ia-shirt-gd-v1-10.jpg?rlkey=a4tvf0yy1mwr3638vg061518s&amp;dl=0","Click to download Image")</f>
      </c>
      <c r="B3911" s="0">
        <f>HYPERLINK("https://dl.dropboxusercontent.com/scl/fi/pvg8k12na7isrobceqtg1/mens-t-shirt-size-chartsslate-cason.jpg?rlkey=y6hmoll4tfmvrdtekwmtxmovg&amp;dl=0","Click to download SizeChart")</f>
      </c>
      <c r="C3911" s="0" t="inlineStr">
        <is>
          <t>Slate Men's ANF Short Sleeve Shirt</t>
        </is>
      </c>
      <c r="D3911" s="1">
        <v>160513</v>
      </c>
      <c r="E3911" s="0" t="inlineStr">
        <is>
          <t>IOWA SLATE M GD:160513A-S</t>
        </is>
      </c>
      <c r="F3911" s="2">
        <v>800160513040</v>
      </c>
      <c r="G3911" s="0" t="inlineStr">
        <is>
          <t>MENS</t>
        </is>
      </c>
      <c r="H3911" s="0" t="inlineStr">
        <is>
          <t>S</t>
        </is>
      </c>
      <c r="I3911" s="0">
        <v>29.99</v>
      </c>
      <c r="J3911" s="0">
        <v>124</v>
      </c>
    </row>
    <row r="3912" spans="1:10" customHeight="0">
      <c r="A3912" s="0">
        <f>HYPERLINK("https://dl.dropboxusercontent.com/scl/fi/nooc51tryi5fzj0icxy4i/mock-anf-ia-shirt-gd-v1-10.jpg?rlkey=a4tvf0yy1mwr3638vg061518s&amp;dl=0","Click to download Image")</f>
      </c>
      <c r="B3912" s="0">
        <f>HYPERLINK("https://dl.dropboxusercontent.com/scl/fi/pvg8k12na7isrobceqtg1/mens-t-shirt-size-chartsslate-cason.jpg?rlkey=y6hmoll4tfmvrdtekwmtxmovg&amp;dl=0","Click to download SizeChart")</f>
      </c>
      <c r="C3912" s="0" t="inlineStr">
        <is>
          <t>Slate Men's ANF Short Sleeve Shirt</t>
        </is>
      </c>
      <c r="D3912" s="1">
        <v>160513</v>
      </c>
      <c r="E3912" s="0" t="inlineStr">
        <is>
          <t>IOWA SLATE M GD:160513B-M</t>
        </is>
      </c>
      <c r="F3912" s="2">
        <v>800160513057</v>
      </c>
      <c r="G3912" s="0" t="inlineStr">
        <is>
          <t>MENS</t>
        </is>
      </c>
      <c r="H3912" s="0" t="inlineStr">
        <is>
          <t>M</t>
        </is>
      </c>
      <c r="I3912" s="0">
        <v>29.99</v>
      </c>
      <c r="J3912" s="0">
        <v>186</v>
      </c>
    </row>
    <row r="3913" spans="1:10" customHeight="0">
      <c r="A3913" s="0">
        <f>HYPERLINK("https://dl.dropboxusercontent.com/scl/fi/nooc51tryi5fzj0icxy4i/mock-anf-ia-shirt-gd-v1-10.jpg?rlkey=a4tvf0yy1mwr3638vg061518s&amp;dl=0","Click to download Image")</f>
      </c>
      <c r="B3913" s="0">
        <f>HYPERLINK("https://dl.dropboxusercontent.com/scl/fi/pvg8k12na7isrobceqtg1/mens-t-shirt-size-chartsslate-cason.jpg?rlkey=y6hmoll4tfmvrdtekwmtxmovg&amp;dl=0","Click to download SizeChart")</f>
      </c>
      <c r="C3913" s="0" t="inlineStr">
        <is>
          <t>Slate Men's ANF Short Sleeve Shirt</t>
        </is>
      </c>
      <c r="D3913" s="1">
        <v>160513</v>
      </c>
      <c r="E3913" s="0" t="inlineStr">
        <is>
          <t>IOWA SLATE M GD:160513C-L</t>
        </is>
      </c>
      <c r="F3913" s="2">
        <v>800160513064</v>
      </c>
      <c r="G3913" s="0" t="inlineStr">
        <is>
          <t>MENS</t>
        </is>
      </c>
      <c r="H3913" s="0" t="inlineStr">
        <is>
          <t>L</t>
        </is>
      </c>
      <c r="I3913" s="0">
        <v>29.99</v>
      </c>
      <c r="J3913" s="0">
        <v>219</v>
      </c>
    </row>
    <row r="3914" spans="1:10" customHeight="0">
      <c r="A3914" s="0">
        <f>HYPERLINK("https://dl.dropboxusercontent.com/scl/fi/nooc51tryi5fzj0icxy4i/mock-anf-ia-shirt-gd-v1-10.jpg?rlkey=a4tvf0yy1mwr3638vg061518s&amp;dl=0","Click to download Image")</f>
      </c>
      <c r="B3914" s="0">
        <f>HYPERLINK("https://dl.dropboxusercontent.com/scl/fi/pvg8k12na7isrobceqtg1/mens-t-shirt-size-chartsslate-cason.jpg?rlkey=y6hmoll4tfmvrdtekwmtxmovg&amp;dl=0","Click to download SizeChart")</f>
      </c>
      <c r="C3914" s="0" t="inlineStr">
        <is>
          <t>Slate Men's ANF Short Sleeve Shirt</t>
        </is>
      </c>
      <c r="D3914" s="1">
        <v>160513</v>
      </c>
      <c r="E3914" s="0" t="inlineStr">
        <is>
          <t>IOWA SLATE M GD:160513D-XL</t>
        </is>
      </c>
      <c r="F3914" s="2">
        <v>800160513071</v>
      </c>
      <c r="G3914" s="0" t="inlineStr">
        <is>
          <t>MENS</t>
        </is>
      </c>
      <c r="H3914" s="0" t="inlineStr">
        <is>
          <t>XL</t>
        </is>
      </c>
      <c r="I3914" s="0">
        <v>29.99</v>
      </c>
      <c r="J3914" s="0">
        <v>240</v>
      </c>
    </row>
    <row r="3915" spans="1:10" customHeight="0">
      <c r="A3915" s="0">
        <f>HYPERLINK("https://dl.dropboxusercontent.com/scl/fi/nooc51tryi5fzj0icxy4i/mock-anf-ia-shirt-gd-v1-10.jpg?rlkey=a4tvf0yy1mwr3638vg061518s&amp;dl=0","Click to download Image")</f>
      </c>
      <c r="B3915" s="0">
        <f>HYPERLINK("https://dl.dropboxusercontent.com/scl/fi/pvg8k12na7isrobceqtg1/mens-t-shirt-size-chartsslate-cason.jpg?rlkey=y6hmoll4tfmvrdtekwmtxmovg&amp;dl=0","Click to download SizeChart")</f>
      </c>
      <c r="C3915" s="0" t="inlineStr">
        <is>
          <t>Slate Men's ANF Short Sleeve Shirt</t>
        </is>
      </c>
      <c r="D3915" s="1">
        <v>160513</v>
      </c>
      <c r="E3915" s="0" t="inlineStr">
        <is>
          <t>IOWA SLATE M GD:160513E-2XL</t>
        </is>
      </c>
      <c r="F3915" s="2">
        <v>800160513088</v>
      </c>
      <c r="G3915" s="0" t="inlineStr">
        <is>
          <t>MENS</t>
        </is>
      </c>
      <c r="H3915" s="0" t="inlineStr">
        <is>
          <t>2XL</t>
        </is>
      </c>
      <c r="I3915" s="0">
        <v>31.99</v>
      </c>
      <c r="J3915" s="0">
        <v>169</v>
      </c>
    </row>
    <row r="3916" spans="1:10" customHeight="0">
      <c r="A3916" s="0">
        <f>HYPERLINK("https://dl.dropboxusercontent.com/scl/fi/nooc51tryi5fzj0icxy4i/mock-anf-ia-shirt-gd-v1-10.jpg?rlkey=a4tvf0yy1mwr3638vg061518s&amp;dl=0","Click to download Image")</f>
      </c>
      <c r="B3916" s="0">
        <f>HYPERLINK("https://dl.dropboxusercontent.com/scl/fi/pvg8k12na7isrobceqtg1/mens-t-shirt-size-chartsslate-cason.jpg?rlkey=y6hmoll4tfmvrdtekwmtxmovg&amp;dl=0","Click to download SizeChart")</f>
      </c>
      <c r="C3916" s="0" t="inlineStr">
        <is>
          <t>Slate Men's ANF Short Sleeve Shirt</t>
        </is>
      </c>
      <c r="D3916" s="1">
        <v>160513</v>
      </c>
      <c r="E3916" s="0" t="inlineStr">
        <is>
          <t>IOWA SLATE M GD:160513F-3XL</t>
        </is>
      </c>
      <c r="F3916" s="2">
        <v>800160513095</v>
      </c>
      <c r="G3916" s="0" t="inlineStr">
        <is>
          <t>MENS</t>
        </is>
      </c>
      <c r="H3916" s="0" t="inlineStr">
        <is>
          <t>3XL</t>
        </is>
      </c>
      <c r="I3916" s="0">
        <v>31.99</v>
      </c>
      <c r="J3916" s="0">
        <v>122</v>
      </c>
    </row>
    <row r="3917" spans="1:10" customHeight="0">
      <c r="A3917" s="0">
        <f>HYPERLINK("https://dl.dropboxusercontent.com/scl/fi/plqqrgnef6ujpz8o5yvfr/mock-anf-ia-shirt-gd-v1-12.jpg?rlkey=b3ki2u44u3jbk7ncxgpoatdrt&amp;dl=0","Click to download Image")</f>
      </c>
      <c r="B3917" s="0">
        <f>HYPERLINK("https://dl.dropboxusercontent.com/scl/fi/pvg8k12na7isrobceqtg1/mens-t-shirt-size-chartsslate-cason.jpg?rlkey=y6hmoll4tfmvrdtekwmtxmovg&amp;dl=0","Click to download SizeChart")</f>
      </c>
      <c r="C3917" s="0" t="inlineStr">
        <is>
          <t>Slate Men's ANF Short Sleeve Shirt</t>
        </is>
      </c>
      <c r="D3917" s="1">
        <v>160405</v>
      </c>
      <c r="E3917" s="0" t="inlineStr">
        <is>
          <t>IOWA SLATE M DG:160405A-S</t>
        </is>
      </c>
      <c r="F3917" s="2">
        <v>801160402044</v>
      </c>
      <c r="G3917" s="0" t="inlineStr">
        <is>
          <t>MENS</t>
        </is>
      </c>
      <c r="H3917" s="0" t="inlineStr">
        <is>
          <t>S</t>
        </is>
      </c>
      <c r="I3917" s="0">
        <v>29.99</v>
      </c>
      <c r="J3917" s="0">
        <v>26</v>
      </c>
    </row>
    <row r="3918" spans="1:10" customHeight="0">
      <c r="A3918" s="0">
        <f>HYPERLINK("https://dl.dropboxusercontent.com/scl/fi/plqqrgnef6ujpz8o5yvfr/mock-anf-ia-shirt-gd-v1-12.jpg?rlkey=b3ki2u44u3jbk7ncxgpoatdrt&amp;dl=0","Click to download Image")</f>
      </c>
      <c r="B3918" s="0">
        <f>HYPERLINK("https://dl.dropboxusercontent.com/scl/fi/pvg8k12na7isrobceqtg1/mens-t-shirt-size-chartsslate-cason.jpg?rlkey=y6hmoll4tfmvrdtekwmtxmovg&amp;dl=0","Click to download SizeChart")</f>
      </c>
      <c r="C3918" s="0" t="inlineStr">
        <is>
          <t>Slate Men's ANF Short Sleeve Shirt</t>
        </is>
      </c>
      <c r="D3918" s="1">
        <v>160405</v>
      </c>
      <c r="E3918" s="0" t="inlineStr">
        <is>
          <t>IOWA SLATE M DG:160405B-M</t>
        </is>
      </c>
      <c r="F3918" s="2">
        <v>801160402051</v>
      </c>
      <c r="G3918" s="0" t="inlineStr">
        <is>
          <t>MENS</t>
        </is>
      </c>
      <c r="H3918" s="0" t="inlineStr">
        <is>
          <t>M</t>
        </is>
      </c>
      <c r="I3918" s="0">
        <v>29.99</v>
      </c>
      <c r="J3918" s="0">
        <v>20</v>
      </c>
    </row>
    <row r="3919" spans="1:10" customHeight="0">
      <c r="A3919" s="0">
        <f>HYPERLINK("https://dl.dropboxusercontent.com/scl/fi/plqqrgnef6ujpz8o5yvfr/mock-anf-ia-shirt-gd-v1-12.jpg?rlkey=b3ki2u44u3jbk7ncxgpoatdrt&amp;dl=0","Click to download Image")</f>
      </c>
      <c r="B3919" s="0">
        <f>HYPERLINK("https://dl.dropboxusercontent.com/scl/fi/pvg8k12na7isrobceqtg1/mens-t-shirt-size-chartsslate-cason.jpg?rlkey=y6hmoll4tfmvrdtekwmtxmovg&amp;dl=0","Click to download SizeChart")</f>
      </c>
      <c r="C3919" s="0" t="inlineStr">
        <is>
          <t>Slate Men's ANF Short Sleeve Shirt</t>
        </is>
      </c>
      <c r="D3919" s="1">
        <v>160405</v>
      </c>
      <c r="E3919" s="0" t="inlineStr">
        <is>
          <t>IOWA SLATE M DG:160405C-L</t>
        </is>
      </c>
      <c r="F3919" s="2">
        <v>801160402068</v>
      </c>
      <c r="G3919" s="0" t="inlineStr">
        <is>
          <t>MENS</t>
        </is>
      </c>
      <c r="H3919" s="0" t="inlineStr">
        <is>
          <t>L</t>
        </is>
      </c>
      <c r="I3919" s="0">
        <v>29.99</v>
      </c>
      <c r="J3919" s="0">
        <v>35</v>
      </c>
    </row>
    <row r="3920" spans="1:10" customHeight="0">
      <c r="A3920" s="0">
        <f>HYPERLINK("https://dl.dropboxusercontent.com/scl/fi/plqqrgnef6ujpz8o5yvfr/mock-anf-ia-shirt-gd-v1-12.jpg?rlkey=b3ki2u44u3jbk7ncxgpoatdrt&amp;dl=0","Click to download Image")</f>
      </c>
      <c r="B3920" s="0">
        <f>HYPERLINK("https://dl.dropboxusercontent.com/scl/fi/pvg8k12na7isrobceqtg1/mens-t-shirt-size-chartsslate-cason.jpg?rlkey=y6hmoll4tfmvrdtekwmtxmovg&amp;dl=0","Click to download SizeChart")</f>
      </c>
      <c r="C3920" s="0" t="inlineStr">
        <is>
          <t>Slate Men's ANF Short Sleeve Shirt</t>
        </is>
      </c>
      <c r="D3920" s="1">
        <v>160405</v>
      </c>
      <c r="E3920" s="0" t="inlineStr">
        <is>
          <t>IOWA SLATE M DG:160405D-XL</t>
        </is>
      </c>
      <c r="F3920" s="2">
        <v>801160402075</v>
      </c>
      <c r="G3920" s="0" t="inlineStr">
        <is>
          <t>MENS</t>
        </is>
      </c>
      <c r="H3920" s="0" t="inlineStr">
        <is>
          <t>XL</t>
        </is>
      </c>
      <c r="I3920" s="0">
        <v>29.99</v>
      </c>
      <c r="J3920" s="0">
        <v>54</v>
      </c>
    </row>
    <row r="3921" spans="1:10" customHeight="0">
      <c r="A3921" s="0">
        <f>HYPERLINK("https://dl.dropboxusercontent.com/scl/fi/plqqrgnef6ujpz8o5yvfr/mock-anf-ia-shirt-gd-v1-12.jpg?rlkey=b3ki2u44u3jbk7ncxgpoatdrt&amp;dl=0","Click to download Image")</f>
      </c>
      <c r="B3921" s="0">
        <f>HYPERLINK("https://dl.dropboxusercontent.com/scl/fi/pvg8k12na7isrobceqtg1/mens-t-shirt-size-chartsslate-cason.jpg?rlkey=y6hmoll4tfmvrdtekwmtxmovg&amp;dl=0","Click to download SizeChart")</f>
      </c>
      <c r="C3921" s="0" t="inlineStr">
        <is>
          <t>Slate Men's ANF Short Sleeve Shirt</t>
        </is>
      </c>
      <c r="D3921" s="1">
        <v>160405</v>
      </c>
      <c r="E3921" s="0" t="inlineStr">
        <is>
          <t>IOWA SLATE M DG:160405E-2XL</t>
        </is>
      </c>
      <c r="F3921" s="2">
        <v>801160402082</v>
      </c>
      <c r="G3921" s="0" t="inlineStr">
        <is>
          <t>MENS</t>
        </is>
      </c>
      <c r="H3921" s="0" t="inlineStr">
        <is>
          <t>2XL</t>
        </is>
      </c>
      <c r="I3921" s="0">
        <v>31.99</v>
      </c>
      <c r="J3921" s="0">
        <v>66</v>
      </c>
    </row>
    <row r="3922" spans="1:10" customHeight="0">
      <c r="A3922" s="0">
        <f>HYPERLINK("https://dl.dropboxusercontent.com/scl/fi/plqqrgnef6ujpz8o5yvfr/mock-anf-ia-shirt-gd-v1-12.jpg?rlkey=b3ki2u44u3jbk7ncxgpoatdrt&amp;dl=0","Click to download Image")</f>
      </c>
      <c r="B3922" s="0">
        <f>HYPERLINK("https://dl.dropboxusercontent.com/scl/fi/pvg8k12na7isrobceqtg1/mens-t-shirt-size-chartsslate-cason.jpg?rlkey=y6hmoll4tfmvrdtekwmtxmovg&amp;dl=0","Click to download SizeChart")</f>
      </c>
      <c r="C3922" s="0" t="inlineStr">
        <is>
          <t>Slate Men's ANF Short Sleeve Shirt</t>
        </is>
      </c>
      <c r="D3922" s="1">
        <v>160405</v>
      </c>
      <c r="E3922" s="0" t="inlineStr">
        <is>
          <t>IOWA SLATE M DG:160405F-3XL</t>
        </is>
      </c>
      <c r="F3922" s="2">
        <v>801160402099</v>
      </c>
      <c r="G3922" s="0" t="inlineStr">
        <is>
          <t>MENS</t>
        </is>
      </c>
      <c r="H3922" s="0" t="inlineStr">
        <is>
          <t>3XL</t>
        </is>
      </c>
      <c r="I3922" s="0">
        <v>31.99</v>
      </c>
      <c r="J3922" s="0">
        <v>34</v>
      </c>
    </row>
    <row r="3923" spans="1:10" customHeight="0">
      <c r="A3923" s="0">
        <f>HYPERLINK("https://dl.dropboxusercontent.com/scl/fi/wvgiro977y4e22pyrzkfd/mock-anf-ia-shirt-gd-v1-06.jpg?rlkey=d8jb7671gjr8n2oih6rlfx3r7&amp;dl=0","Click to download Image")</f>
      </c>
      <c r="B3923" s="0">
        <f>HYPERLINK("https://dl.dropboxusercontent.com/scl/fi/onq6577hdi4v7ethkuf2j/mens-t-shirt-size-chartscason-slate-ls.jpg?rlkey=2euo1vuspwny47cdtzcssapp8&amp;dl=0","Click to download SizeChart")</f>
      </c>
      <c r="C3923" s="0" t="inlineStr">
        <is>
          <t>Cason Men's ANF Long Sleeve Shirt</t>
        </is>
      </c>
      <c r="D3923" s="1">
        <v>160514</v>
      </c>
      <c r="E3923" s="0" t="inlineStr">
        <is>
          <t>IOWA CASONL M GD:160514A-S</t>
        </is>
      </c>
      <c r="F3923" s="2">
        <v>800160514047</v>
      </c>
      <c r="G3923" s="0" t="inlineStr">
        <is>
          <t>MENS</t>
        </is>
      </c>
      <c r="H3923" s="0" t="inlineStr">
        <is>
          <t>S</t>
        </is>
      </c>
      <c r="I3923" s="0">
        <v>32.99</v>
      </c>
      <c r="J3923" s="0">
        <v>0</v>
      </c>
    </row>
    <row r="3924" spans="1:10" customHeight="0">
      <c r="A3924" s="0">
        <f>HYPERLINK("https://dl.dropboxusercontent.com/scl/fi/wvgiro977y4e22pyrzkfd/mock-anf-ia-shirt-gd-v1-06.jpg?rlkey=d8jb7671gjr8n2oih6rlfx3r7&amp;dl=0","Click to download Image")</f>
      </c>
      <c r="B3924" s="0">
        <f>HYPERLINK("https://dl.dropboxusercontent.com/scl/fi/onq6577hdi4v7ethkuf2j/mens-t-shirt-size-chartscason-slate-ls.jpg?rlkey=2euo1vuspwny47cdtzcssapp8&amp;dl=0","Click to download SizeChart")</f>
      </c>
      <c r="C3924" s="0" t="inlineStr">
        <is>
          <t>Cason Men's ANF Long Sleeve Shirt</t>
        </is>
      </c>
      <c r="D3924" s="1">
        <v>160514</v>
      </c>
      <c r="E3924" s="0" t="inlineStr">
        <is>
          <t>IOWA CASONL M GD:160514B-M</t>
        </is>
      </c>
      <c r="F3924" s="2">
        <v>800160514054</v>
      </c>
      <c r="G3924" s="0" t="inlineStr">
        <is>
          <t>MENS</t>
        </is>
      </c>
      <c r="H3924" s="0" t="inlineStr">
        <is>
          <t>M</t>
        </is>
      </c>
      <c r="I3924" s="0">
        <v>32.99</v>
      </c>
      <c r="J3924" s="0">
        <v>0</v>
      </c>
    </row>
    <row r="3925" spans="1:10" customHeight="0">
      <c r="A3925" s="0">
        <f>HYPERLINK("https://dl.dropboxusercontent.com/scl/fi/wvgiro977y4e22pyrzkfd/mock-anf-ia-shirt-gd-v1-06.jpg?rlkey=d8jb7671gjr8n2oih6rlfx3r7&amp;dl=0","Click to download Image")</f>
      </c>
      <c r="B3925" s="0">
        <f>HYPERLINK("https://dl.dropboxusercontent.com/scl/fi/onq6577hdi4v7ethkuf2j/mens-t-shirt-size-chartscason-slate-ls.jpg?rlkey=2euo1vuspwny47cdtzcssapp8&amp;dl=0","Click to download SizeChart")</f>
      </c>
      <c r="C3925" s="0" t="inlineStr">
        <is>
          <t>Cason Men's ANF Long Sleeve Shirt</t>
        </is>
      </c>
      <c r="D3925" s="1">
        <v>160514</v>
      </c>
      <c r="E3925" s="0" t="inlineStr">
        <is>
          <t>IOWA IOWA CASONL M GD M GD:160514C-L</t>
        </is>
      </c>
      <c r="F3925" s="2">
        <v>800160514061</v>
      </c>
      <c r="G3925" s="0" t="inlineStr">
        <is>
          <t>MENS</t>
        </is>
      </c>
      <c r="H3925" s="0" t="inlineStr">
        <is>
          <t>L</t>
        </is>
      </c>
      <c r="I3925" s="0">
        <v>32.99</v>
      </c>
      <c r="J3925" s="0">
        <v>0</v>
      </c>
    </row>
    <row r="3926" spans="1:10" customHeight="0">
      <c r="A3926" s="0">
        <f>HYPERLINK("https://dl.dropboxusercontent.com/scl/fi/wvgiro977y4e22pyrzkfd/mock-anf-ia-shirt-gd-v1-06.jpg?rlkey=d8jb7671gjr8n2oih6rlfx3r7&amp;dl=0","Click to download Image")</f>
      </c>
      <c r="B3926" s="0">
        <f>HYPERLINK("https://dl.dropboxusercontent.com/scl/fi/onq6577hdi4v7ethkuf2j/mens-t-shirt-size-chartscason-slate-ls.jpg?rlkey=2euo1vuspwny47cdtzcssapp8&amp;dl=0","Click to download SizeChart")</f>
      </c>
      <c r="C3926" s="0" t="inlineStr">
        <is>
          <t>Cason Men's ANF Long Sleeve Shirt</t>
        </is>
      </c>
      <c r="D3926" s="1">
        <v>160514</v>
      </c>
      <c r="E3926" s="0" t="inlineStr">
        <is>
          <t>IOWA CASONL M GD:160514D-XL</t>
        </is>
      </c>
      <c r="F3926" s="2">
        <v>800160514078</v>
      </c>
      <c r="G3926" s="0" t="inlineStr">
        <is>
          <t>MENS</t>
        </is>
      </c>
      <c r="H3926" s="0" t="inlineStr">
        <is>
          <t>XL</t>
        </is>
      </c>
      <c r="I3926" s="0">
        <v>32.99</v>
      </c>
      <c r="J3926" s="0">
        <v>0</v>
      </c>
    </row>
    <row r="3927" spans="1:10" customHeight="0">
      <c r="A3927" s="0">
        <f>HYPERLINK("https://dl.dropboxusercontent.com/scl/fi/wvgiro977y4e22pyrzkfd/mock-anf-ia-shirt-gd-v1-06.jpg?rlkey=d8jb7671gjr8n2oih6rlfx3r7&amp;dl=0","Click to download Image")</f>
      </c>
      <c r="B3927" s="0">
        <f>HYPERLINK("https://dl.dropboxusercontent.com/scl/fi/onq6577hdi4v7ethkuf2j/mens-t-shirt-size-chartscason-slate-ls.jpg?rlkey=2euo1vuspwny47cdtzcssapp8&amp;dl=0","Click to download SizeChart")</f>
      </c>
      <c r="C3927" s="0" t="inlineStr">
        <is>
          <t>Cason Men's ANF Long Sleeve Shirt</t>
        </is>
      </c>
      <c r="D3927" s="1">
        <v>160514</v>
      </c>
      <c r="E3927" s="0" t="inlineStr">
        <is>
          <t>IOWA CASONL M GD:160514E-2XL</t>
        </is>
      </c>
      <c r="F3927" s="2">
        <v>800160514085</v>
      </c>
      <c r="G3927" s="0" t="inlineStr">
        <is>
          <t>MENS</t>
        </is>
      </c>
      <c r="H3927" s="0" t="inlineStr">
        <is>
          <t>2XL</t>
        </is>
      </c>
      <c r="I3927" s="0">
        <v>34.99</v>
      </c>
      <c r="J3927" s="0">
        <v>0</v>
      </c>
    </row>
    <row r="3928" spans="1:10" customHeight="0">
      <c r="A3928" s="0">
        <f>HYPERLINK("https://dl.dropboxusercontent.com/scl/fi/wvgiro977y4e22pyrzkfd/mock-anf-ia-shirt-gd-v1-06.jpg?rlkey=d8jb7671gjr8n2oih6rlfx3r7&amp;dl=0","Click to download Image")</f>
      </c>
      <c r="B3928" s="0">
        <f>HYPERLINK("https://dl.dropboxusercontent.com/scl/fi/onq6577hdi4v7ethkuf2j/mens-t-shirt-size-chartscason-slate-ls.jpg?rlkey=2euo1vuspwny47cdtzcssapp8&amp;dl=0","Click to download SizeChart")</f>
      </c>
      <c r="C3928" s="0" t="inlineStr">
        <is>
          <t>Cason Men's ANF Long Sleeve Shirt</t>
        </is>
      </c>
      <c r="D3928" s="1">
        <v>160514</v>
      </c>
      <c r="E3928" s="0" t="inlineStr">
        <is>
          <t>IOWA CASONL M GD:160514F-3XL</t>
        </is>
      </c>
      <c r="F3928" s="2">
        <v>800160514092</v>
      </c>
      <c r="G3928" s="0" t="inlineStr">
        <is>
          <t>MENS</t>
        </is>
      </c>
      <c r="H3928" s="0" t="inlineStr">
        <is>
          <t>3XL</t>
        </is>
      </c>
      <c r="I3928" s="0">
        <v>34.99</v>
      </c>
      <c r="J3928" s="0">
        <v>1</v>
      </c>
    </row>
    <row r="3929" spans="1:10" customHeight="0">
      <c r="A3929" s="0">
        <f>HYPERLINK("https://dl.dropboxusercontent.com/scl/fi/lsame2w2brqn8iiha5d7j/mock-160576-iowa-athens-m-bk-v1-02.jpg?rlkey=wv7wu9q2hw1ruexzhxzuknegf&amp;dl=0","Click to download Image")</f>
      </c>
      <c r="B3929" s="0">
        <f>HYPERLINK("https://dl.dropboxusercontent.com/scl/fi/5iaz441k3tg1lb6fbwis0/mens-hoodie-size-chartsathens.jpg?rlkey=uwuklcn6s27eoxl67izkj8re4&amp;dl=0","Click to download SizeChart")</f>
      </c>
      <c r="C3929" s="0" t="inlineStr">
        <is>
          <t>Athens Men's French Terry Hoodie</t>
        </is>
      </c>
      <c r="D3929" s="1">
        <v>160576</v>
      </c>
      <c r="E3929" s="0" t="inlineStr">
        <is>
          <t>IOWA ATHENS M BK:160576A-S</t>
        </is>
      </c>
      <c r="F3929" s="2">
        <v>800160576045</v>
      </c>
      <c r="G3929" s="0" t="inlineStr">
        <is>
          <t>MENS</t>
        </is>
      </c>
      <c r="H3929" s="0" t="inlineStr">
        <is>
          <t>S</t>
        </is>
      </c>
      <c r="I3929" s="0">
        <v>39.99</v>
      </c>
      <c r="J3929" s="0">
        <v>0</v>
      </c>
    </row>
    <row r="3930" spans="1:10" customHeight="0">
      <c r="A3930" s="0">
        <f>HYPERLINK("https://dl.dropboxusercontent.com/scl/fi/lsame2w2brqn8iiha5d7j/mock-160576-iowa-athens-m-bk-v1-02.jpg?rlkey=wv7wu9q2hw1ruexzhxzuknegf&amp;dl=0","Click to download Image")</f>
      </c>
      <c r="B3930" s="0">
        <f>HYPERLINK("https://dl.dropboxusercontent.com/scl/fi/5iaz441k3tg1lb6fbwis0/mens-hoodie-size-chartsathens.jpg?rlkey=uwuklcn6s27eoxl67izkj8re4&amp;dl=0","Click to download SizeChart")</f>
      </c>
      <c r="C3930" s="0" t="inlineStr">
        <is>
          <t>Athens Men's French Terry Hoodie</t>
        </is>
      </c>
      <c r="D3930" s="1">
        <v>160576</v>
      </c>
      <c r="E3930" s="0" t="inlineStr">
        <is>
          <t>IOWA ATHENS M BK:160576B-M</t>
        </is>
      </c>
      <c r="F3930" s="2">
        <v>800160576052</v>
      </c>
      <c r="G3930" s="0" t="inlineStr">
        <is>
          <t>MENS</t>
        </is>
      </c>
      <c r="H3930" s="0" t="inlineStr">
        <is>
          <t>M</t>
        </is>
      </c>
      <c r="I3930" s="0">
        <v>39.99</v>
      </c>
      <c r="J3930" s="0">
        <v>0</v>
      </c>
    </row>
    <row r="3931" spans="1:10" customHeight="0">
      <c r="A3931" s="0">
        <f>HYPERLINK("https://dl.dropboxusercontent.com/scl/fi/lsame2w2brqn8iiha5d7j/mock-160576-iowa-athens-m-bk-v1-02.jpg?rlkey=wv7wu9q2hw1ruexzhxzuknegf&amp;dl=0","Click to download Image")</f>
      </c>
      <c r="B3931" s="0">
        <f>HYPERLINK("https://dl.dropboxusercontent.com/scl/fi/5iaz441k3tg1lb6fbwis0/mens-hoodie-size-chartsathens.jpg?rlkey=uwuklcn6s27eoxl67izkj8re4&amp;dl=0","Click to download SizeChart")</f>
      </c>
      <c r="C3931" s="0" t="inlineStr">
        <is>
          <t>Athens Men's French Terry Hoodie</t>
        </is>
      </c>
      <c r="D3931" s="1">
        <v>160576</v>
      </c>
      <c r="E3931" s="0" t="inlineStr">
        <is>
          <t>IOWA ATHENS M BK:160576C-L</t>
        </is>
      </c>
      <c r="F3931" s="2">
        <v>800160576069</v>
      </c>
      <c r="G3931" s="0" t="inlineStr">
        <is>
          <t>MENS</t>
        </is>
      </c>
      <c r="H3931" s="0" t="inlineStr">
        <is>
          <t>L</t>
        </is>
      </c>
      <c r="I3931" s="0">
        <v>39.99</v>
      </c>
      <c r="J3931" s="0">
        <v>0</v>
      </c>
    </row>
    <row r="3932" spans="1:10" customHeight="0">
      <c r="A3932" s="0">
        <f>HYPERLINK("https://dl.dropboxusercontent.com/scl/fi/lsame2w2brqn8iiha5d7j/mock-160576-iowa-athens-m-bk-v1-02.jpg?rlkey=wv7wu9q2hw1ruexzhxzuknegf&amp;dl=0","Click to download Image")</f>
      </c>
      <c r="B3932" s="0">
        <f>HYPERLINK("https://dl.dropboxusercontent.com/scl/fi/5iaz441k3tg1lb6fbwis0/mens-hoodie-size-chartsathens.jpg?rlkey=uwuklcn6s27eoxl67izkj8re4&amp;dl=0","Click to download SizeChart")</f>
      </c>
      <c r="C3932" s="0" t="inlineStr">
        <is>
          <t>Athens Men's French Terry Hoodie</t>
        </is>
      </c>
      <c r="D3932" s="1">
        <v>160576</v>
      </c>
      <c r="E3932" s="0" t="inlineStr">
        <is>
          <t>IOWA ATHENS M BK:160576D-XL</t>
        </is>
      </c>
      <c r="F3932" s="2">
        <v>800160576076</v>
      </c>
      <c r="G3932" s="0" t="inlineStr">
        <is>
          <t>MENS</t>
        </is>
      </c>
      <c r="H3932" s="0" t="inlineStr">
        <is>
          <t>XL</t>
        </is>
      </c>
      <c r="I3932" s="0">
        <v>39.99</v>
      </c>
      <c r="J3932" s="0">
        <v>2</v>
      </c>
    </row>
    <row r="3933" spans="1:10" customHeight="0">
      <c r="A3933" s="0">
        <f>HYPERLINK("https://dl.dropboxusercontent.com/scl/fi/lsame2w2brqn8iiha5d7j/mock-160576-iowa-athens-m-bk-v1-02.jpg?rlkey=wv7wu9q2hw1ruexzhxzuknegf&amp;dl=0","Click to download Image")</f>
      </c>
      <c r="B3933" s="0">
        <f>HYPERLINK("https://dl.dropboxusercontent.com/scl/fi/5iaz441k3tg1lb6fbwis0/mens-hoodie-size-chartsathens.jpg?rlkey=uwuklcn6s27eoxl67izkj8re4&amp;dl=0","Click to download SizeChart")</f>
      </c>
      <c r="C3933" s="0" t="inlineStr">
        <is>
          <t>Athens Men's French Terry Hoodie</t>
        </is>
      </c>
      <c r="D3933" s="1">
        <v>160576</v>
      </c>
      <c r="E3933" s="0" t="inlineStr">
        <is>
          <t>IOWA ATHENS M BK:160576E-2XL</t>
        </is>
      </c>
      <c r="F3933" s="2">
        <v>800160576083</v>
      </c>
      <c r="G3933" s="0" t="inlineStr">
        <is>
          <t>MENS</t>
        </is>
      </c>
      <c r="H3933" s="0" t="inlineStr">
        <is>
          <t>2XL</t>
        </is>
      </c>
      <c r="I3933" s="0">
        <v>41.99</v>
      </c>
      <c r="J3933" s="0">
        <v>5</v>
      </c>
    </row>
    <row r="3934" spans="1:10" customHeight="0">
      <c r="A3934" s="0">
        <f>HYPERLINK("https://dl.dropboxusercontent.com/scl/fi/lsame2w2brqn8iiha5d7j/mock-160576-iowa-athens-m-bk-v1-02.jpg?rlkey=wv7wu9q2hw1ruexzhxzuknegf&amp;dl=0","Click to download Image")</f>
      </c>
      <c r="B3934" s="0">
        <f>HYPERLINK("https://dl.dropboxusercontent.com/scl/fi/5iaz441k3tg1lb6fbwis0/mens-hoodie-size-chartsathens.jpg?rlkey=uwuklcn6s27eoxl67izkj8re4&amp;dl=0","Click to download SizeChart")</f>
      </c>
      <c r="C3934" s="0" t="inlineStr">
        <is>
          <t>Athens Men's French Terry Hoodie</t>
        </is>
      </c>
      <c r="D3934" s="1">
        <v>160576</v>
      </c>
      <c r="E3934" s="0" t="inlineStr">
        <is>
          <t>IOWA ATHENS M BK:160576F-3XL</t>
        </is>
      </c>
      <c r="F3934" s="2">
        <v>800160576090</v>
      </c>
      <c r="G3934" s="0" t="inlineStr">
        <is>
          <t>MENS</t>
        </is>
      </c>
      <c r="H3934" s="0" t="inlineStr">
        <is>
          <t>3XL</t>
        </is>
      </c>
      <c r="I3934" s="0">
        <v>41.99</v>
      </c>
      <c r="J3934" s="0">
        <v>0</v>
      </c>
    </row>
    <row r="3935" spans="1:10" customHeight="0">
      <c r="A3935" s="0">
        <f>HYPERLINK("https://dl.dropboxusercontent.com/scl/fi/m2vl2ch1k8srx4qcv2ija/s26-mockups-31.jpg?rlkey=1xinq6v6lt24dixca3cdtu0iw&amp;dl=0","Click to download Image")</f>
      </c>
      <c r="B3935" s="0">
        <f>HYPERLINK("https://dl.dropboxusercontent.com/scl/fi/q6ebktx49od8inm5n7e6h/mens-hoodie-size-chartsquincy.jpg?rlkey=lrhzgykd25fz5uanwkqtxoiuv&amp;dl=0","Click to download SizeChart")</f>
      </c>
      <c r="C3935" s="0" t="inlineStr">
        <is>
          <t>Quincy Mens Midweight Fleece Hoodie</t>
        </is>
      </c>
      <c r="D3935" s="1">
        <v>160619</v>
      </c>
      <c r="E3935" s="0" t="inlineStr">
        <is>
          <t>IOWA QUINCY M BK:160619A-S</t>
        </is>
      </c>
      <c r="F3935" s="2">
        <v>800160619049</v>
      </c>
      <c r="G3935" s="0" t="inlineStr">
        <is>
          <t>MENS</t>
        </is>
      </c>
      <c r="H3935" s="0" t="inlineStr">
        <is>
          <t>S</t>
        </is>
      </c>
      <c r="I3935" s="0">
        <v>59.99</v>
      </c>
      <c r="J3935" s="0">
        <v>31</v>
      </c>
    </row>
    <row r="3936" spans="1:10" customHeight="0">
      <c r="A3936" s="0">
        <f>HYPERLINK("https://dl.dropboxusercontent.com/scl/fi/m2vl2ch1k8srx4qcv2ija/s26-mockups-31.jpg?rlkey=1xinq6v6lt24dixca3cdtu0iw&amp;dl=0","Click to download Image")</f>
      </c>
      <c r="B3936" s="0">
        <f>HYPERLINK("https://dl.dropboxusercontent.com/scl/fi/q6ebktx49od8inm5n7e6h/mens-hoodie-size-chartsquincy.jpg?rlkey=lrhzgykd25fz5uanwkqtxoiuv&amp;dl=0","Click to download SizeChart")</f>
      </c>
      <c r="C3936" s="0" t="inlineStr">
        <is>
          <t>Quincy Mens Midweight Fleece Hoodie</t>
        </is>
      </c>
      <c r="D3936" s="1">
        <v>160619</v>
      </c>
      <c r="E3936" s="0" t="inlineStr">
        <is>
          <t>IOWA QUINCY M BK:160619B-M</t>
        </is>
      </c>
      <c r="F3936" s="2">
        <v>800160619056</v>
      </c>
      <c r="G3936" s="0" t="inlineStr">
        <is>
          <t>MENS</t>
        </is>
      </c>
      <c r="H3936" s="0" t="inlineStr">
        <is>
          <t>M</t>
        </is>
      </c>
      <c r="I3936" s="0">
        <v>59.99</v>
      </c>
      <c r="J3936" s="0">
        <v>67</v>
      </c>
    </row>
    <row r="3937" spans="1:10" customHeight="0">
      <c r="A3937" s="0">
        <f>HYPERLINK("https://dl.dropboxusercontent.com/scl/fi/m2vl2ch1k8srx4qcv2ija/s26-mockups-31.jpg?rlkey=1xinq6v6lt24dixca3cdtu0iw&amp;dl=0","Click to download Image")</f>
      </c>
      <c r="B3937" s="0">
        <f>HYPERLINK("https://dl.dropboxusercontent.com/scl/fi/q6ebktx49od8inm5n7e6h/mens-hoodie-size-chartsquincy.jpg?rlkey=lrhzgykd25fz5uanwkqtxoiuv&amp;dl=0","Click to download SizeChart")</f>
      </c>
      <c r="C3937" s="0" t="inlineStr">
        <is>
          <t>Quincy Mens Midweight Fleece Hoodie</t>
        </is>
      </c>
      <c r="D3937" s="1">
        <v>160619</v>
      </c>
      <c r="E3937" s="0" t="inlineStr">
        <is>
          <t>IOWA QUINCY M BK:160619C-L</t>
        </is>
      </c>
      <c r="F3937" s="2">
        <v>800160619063</v>
      </c>
      <c r="G3937" s="0" t="inlineStr">
        <is>
          <t>MENS</t>
        </is>
      </c>
      <c r="H3937" s="0" t="inlineStr">
        <is>
          <t>L</t>
        </is>
      </c>
      <c r="I3937" s="0">
        <v>59.99</v>
      </c>
      <c r="J3937" s="0">
        <v>76</v>
      </c>
    </row>
    <row r="3938" spans="1:10" customHeight="0">
      <c r="A3938" s="0">
        <f>HYPERLINK("https://dl.dropboxusercontent.com/scl/fi/m2vl2ch1k8srx4qcv2ija/s26-mockups-31.jpg?rlkey=1xinq6v6lt24dixca3cdtu0iw&amp;dl=0","Click to download Image")</f>
      </c>
      <c r="B3938" s="0">
        <f>HYPERLINK("https://dl.dropboxusercontent.com/scl/fi/q6ebktx49od8inm5n7e6h/mens-hoodie-size-chartsquincy.jpg?rlkey=lrhzgykd25fz5uanwkqtxoiuv&amp;dl=0","Click to download SizeChart")</f>
      </c>
      <c r="C3938" s="0" t="inlineStr">
        <is>
          <t>Quincy Mens Midweight Fleece Hoodie</t>
        </is>
      </c>
      <c r="D3938" s="1">
        <v>160619</v>
      </c>
      <c r="E3938" s="0" t="inlineStr">
        <is>
          <t>IOWA QUINCY M BK:160619D-XL</t>
        </is>
      </c>
      <c r="F3938" s="2">
        <v>800160619070</v>
      </c>
      <c r="G3938" s="0" t="inlineStr">
        <is>
          <t>MENS</t>
        </is>
      </c>
      <c r="H3938" s="0" t="inlineStr">
        <is>
          <t>XL</t>
        </is>
      </c>
      <c r="I3938" s="0">
        <v>59.99</v>
      </c>
      <c r="J3938" s="0">
        <v>76</v>
      </c>
    </row>
    <row r="3939" spans="1:10" customHeight="0">
      <c r="A3939" s="0">
        <f>HYPERLINK("https://dl.dropboxusercontent.com/scl/fi/m2vl2ch1k8srx4qcv2ija/s26-mockups-31.jpg?rlkey=1xinq6v6lt24dixca3cdtu0iw&amp;dl=0","Click to download Image")</f>
      </c>
      <c r="B3939" s="0">
        <f>HYPERLINK("https://dl.dropboxusercontent.com/scl/fi/q6ebktx49od8inm5n7e6h/mens-hoodie-size-chartsquincy.jpg?rlkey=lrhzgykd25fz5uanwkqtxoiuv&amp;dl=0","Click to download SizeChart")</f>
      </c>
      <c r="C3939" s="0" t="inlineStr">
        <is>
          <t>Quincy Mens Midweight Fleece Hoodie</t>
        </is>
      </c>
      <c r="D3939" s="1">
        <v>160619</v>
      </c>
      <c r="E3939" s="0" t="inlineStr">
        <is>
          <t>IOWA QUINCY M BK:160619E-2XL</t>
        </is>
      </c>
      <c r="F3939" s="2">
        <v>800160619087</v>
      </c>
      <c r="G3939" s="0" t="inlineStr">
        <is>
          <t>MENS</t>
        </is>
      </c>
      <c r="H3939" s="0" t="inlineStr">
        <is>
          <t>2XL</t>
        </is>
      </c>
      <c r="I3939" s="0">
        <v>61.99</v>
      </c>
      <c r="J3939" s="0">
        <v>73</v>
      </c>
    </row>
    <row r="3940" spans="1:10" customHeight="0">
      <c r="A3940" s="0">
        <f>HYPERLINK("https://dl.dropboxusercontent.com/scl/fi/m2vl2ch1k8srx4qcv2ija/s26-mockups-31.jpg?rlkey=1xinq6v6lt24dixca3cdtu0iw&amp;dl=0","Click to download Image")</f>
      </c>
      <c r="B3940" s="0">
        <f>HYPERLINK("https://dl.dropboxusercontent.com/scl/fi/q6ebktx49od8inm5n7e6h/mens-hoodie-size-chartsquincy.jpg?rlkey=lrhzgykd25fz5uanwkqtxoiuv&amp;dl=0","Click to download SizeChart")</f>
      </c>
      <c r="C3940" s="0" t="inlineStr">
        <is>
          <t>Quincy Mens Midweight Fleece Hoodie</t>
        </is>
      </c>
      <c r="D3940" s="1">
        <v>160619</v>
      </c>
      <c r="E3940" s="0" t="inlineStr">
        <is>
          <t>IOWA QUINCY M BK:160619F-3XL</t>
        </is>
      </c>
      <c r="F3940" s="2">
        <v>800160619094</v>
      </c>
      <c r="G3940" s="0" t="inlineStr">
        <is>
          <t>MENS</t>
        </is>
      </c>
      <c r="H3940" s="0" t="inlineStr">
        <is>
          <t>3XL</t>
        </is>
      </c>
      <c r="I3940" s="0">
        <v>61.99</v>
      </c>
      <c r="J3940" s="0">
        <v>40</v>
      </c>
    </row>
    <row r="3941" spans="1:10" customHeight="0">
      <c r="A3941" s="0">
        <f>HYPERLINK("https://dl.dropboxusercontent.com/scl/fi/m2vl2ch1k8srx4qcv2ija/s26-mockups-31.jpg?rlkey=1xinq6v6lt24dixca3cdtu0iw&amp;dl=0","Click to download Image")</f>
      </c>
      <c r="B3941" s="0">
        <f>HYPERLINK("https://dl.dropboxusercontent.com/scl/fi/q6ebktx49od8inm5n7e6h/mens-hoodie-size-chartsquincy.jpg?rlkey=lrhzgykd25fz5uanwkqtxoiuv&amp;dl=0","Click to download SizeChart")</f>
      </c>
      <c r="C3941" s="0" t="inlineStr">
        <is>
          <t>Quincy Mens Midweight Fleece Hoodie</t>
        </is>
      </c>
      <c r="D3941" s="1">
        <v>160619</v>
      </c>
      <c r="E3941" s="0" t="inlineStr">
        <is>
          <t>IOWA QUINCY M BK:160619Z-12PK</t>
        </is>
      </c>
      <c r="F3941" s="2">
        <v>800160619995</v>
      </c>
      <c r="G3941" s="0" t="inlineStr">
        <is>
          <t>MENS</t>
        </is>
      </c>
      <c r="H3941" s="0" t="inlineStr">
        <is>
          <t>12 PACK</t>
        </is>
      </c>
      <c r="I3941" s="0">
        <v>582</v>
      </c>
      <c r="J3941" s="0">
        <v>6</v>
      </c>
    </row>
    <row r="3942" spans="1:10" customHeight="0">
      <c r="A3942" s="0">
        <f>HYPERLINK("https://dl.dropboxusercontent.com/scl/fi/iey1jnskwe2z7bgo0mba1/s26-mockups-49.jpg?rlkey=smop694nnahficxe4oxoh6j1k&amp;dl=0","Click to download Image")</f>
      </c>
      <c r="B3942" s="0">
        <f>HYPERLINK("https://dl.dropboxusercontent.com/scl/fi/znaaxngls420yegr0b2la/mens-polo-size-chartscraft.jpg?rlkey=n86rlww57cw7rw2t5g0uem12o&amp;dl=0","Click to download SizeChart")</f>
      </c>
      <c r="C3942" s="0" t="inlineStr">
        <is>
          <t>Craft Men's Coolmax Polo</t>
        </is>
      </c>
      <c r="D3942" s="1">
        <v>160600</v>
      </c>
      <c r="E3942" s="0" t="inlineStr">
        <is>
          <t>IOWA CRAFT M WE:160600A-S</t>
        </is>
      </c>
      <c r="F3942" s="2">
        <v>800160600047</v>
      </c>
      <c r="G3942" s="0" t="inlineStr">
        <is>
          <t>MENS</t>
        </is>
      </c>
      <c r="H3942" s="0" t="inlineStr">
        <is>
          <t>S</t>
        </is>
      </c>
      <c r="I3942" s="0">
        <v>44.99</v>
      </c>
      <c r="J3942" s="0">
        <v>73</v>
      </c>
    </row>
    <row r="3943" spans="1:10" customHeight="0">
      <c r="A3943" s="0">
        <f>HYPERLINK("https://dl.dropboxusercontent.com/scl/fi/iey1jnskwe2z7bgo0mba1/s26-mockups-49.jpg?rlkey=smop694nnahficxe4oxoh6j1k&amp;dl=0","Click to download Image")</f>
      </c>
      <c r="B3943" s="0">
        <f>HYPERLINK("https://dl.dropboxusercontent.com/scl/fi/znaaxngls420yegr0b2la/mens-polo-size-chartscraft.jpg?rlkey=n86rlww57cw7rw2t5g0uem12o&amp;dl=0","Click to download SizeChart")</f>
      </c>
      <c r="C3943" s="0" t="inlineStr">
        <is>
          <t>Craft Men's Coolmax Polo</t>
        </is>
      </c>
      <c r="D3943" s="1">
        <v>160600</v>
      </c>
      <c r="E3943" s="0" t="inlineStr">
        <is>
          <t>IOWA CRAFT M WE:160600B-M</t>
        </is>
      </c>
      <c r="F3943" s="2">
        <v>800160600054</v>
      </c>
      <c r="G3943" s="0" t="inlineStr">
        <is>
          <t>MENS</t>
        </is>
      </c>
      <c r="H3943" s="0" t="inlineStr">
        <is>
          <t>M</t>
        </is>
      </c>
      <c r="I3943" s="0">
        <v>44.99</v>
      </c>
      <c r="J3943" s="0">
        <v>112</v>
      </c>
    </row>
    <row r="3944" spans="1:10" customHeight="0">
      <c r="A3944" s="0">
        <f>HYPERLINK("https://dl.dropboxusercontent.com/scl/fi/iey1jnskwe2z7bgo0mba1/s26-mockups-49.jpg?rlkey=smop694nnahficxe4oxoh6j1k&amp;dl=0","Click to download Image")</f>
      </c>
      <c r="B3944" s="0">
        <f>HYPERLINK("https://dl.dropboxusercontent.com/scl/fi/znaaxngls420yegr0b2la/mens-polo-size-chartscraft.jpg?rlkey=n86rlww57cw7rw2t5g0uem12o&amp;dl=0","Click to download SizeChart")</f>
      </c>
      <c r="C3944" s="0" t="inlineStr">
        <is>
          <t>Craft Men's Coolmax Polo</t>
        </is>
      </c>
      <c r="D3944" s="1">
        <v>160600</v>
      </c>
      <c r="E3944" s="0" t="inlineStr">
        <is>
          <t>IOWA CRAFT M WE:160600C-L</t>
        </is>
      </c>
      <c r="F3944" s="2">
        <v>800160600061</v>
      </c>
      <c r="G3944" s="0" t="inlineStr">
        <is>
          <t>MENS</t>
        </is>
      </c>
      <c r="H3944" s="0" t="inlineStr">
        <is>
          <t>L</t>
        </is>
      </c>
      <c r="I3944" s="0">
        <v>44.99</v>
      </c>
      <c r="J3944" s="0">
        <v>166</v>
      </c>
    </row>
    <row r="3945" spans="1:10" customHeight="0">
      <c r="A3945" s="0">
        <f>HYPERLINK("https://dl.dropboxusercontent.com/scl/fi/iey1jnskwe2z7bgo0mba1/s26-mockups-49.jpg?rlkey=smop694nnahficxe4oxoh6j1k&amp;dl=0","Click to download Image")</f>
      </c>
      <c r="B3945" s="0">
        <f>HYPERLINK("https://dl.dropboxusercontent.com/scl/fi/znaaxngls420yegr0b2la/mens-polo-size-chartscraft.jpg?rlkey=n86rlww57cw7rw2t5g0uem12o&amp;dl=0","Click to download SizeChart")</f>
      </c>
      <c r="C3945" s="0" t="inlineStr">
        <is>
          <t>Craft Men's Coolmax Polo</t>
        </is>
      </c>
      <c r="D3945" s="1">
        <v>160600</v>
      </c>
      <c r="E3945" s="0" t="inlineStr">
        <is>
          <t>IOWA CRAFT M WE:160600D-XL</t>
        </is>
      </c>
      <c r="F3945" s="2">
        <v>800160600078</v>
      </c>
      <c r="G3945" s="0" t="inlineStr">
        <is>
          <t>MENS</t>
        </is>
      </c>
      <c r="H3945" s="0" t="inlineStr">
        <is>
          <t>XL</t>
        </is>
      </c>
      <c r="I3945" s="0">
        <v>44.99</v>
      </c>
      <c r="J3945" s="0">
        <v>168</v>
      </c>
    </row>
    <row r="3946" spans="1:10" customHeight="0">
      <c r="A3946" s="0">
        <f>HYPERLINK("https://dl.dropboxusercontent.com/scl/fi/iey1jnskwe2z7bgo0mba1/s26-mockups-49.jpg?rlkey=smop694nnahficxe4oxoh6j1k&amp;dl=0","Click to download Image")</f>
      </c>
      <c r="B3946" s="0">
        <f>HYPERLINK("https://dl.dropboxusercontent.com/scl/fi/znaaxngls420yegr0b2la/mens-polo-size-chartscraft.jpg?rlkey=n86rlww57cw7rw2t5g0uem12o&amp;dl=0","Click to download SizeChart")</f>
      </c>
      <c r="C3946" s="0" t="inlineStr">
        <is>
          <t>Craft Men's Coolmax Polo</t>
        </is>
      </c>
      <c r="D3946" s="1">
        <v>160600</v>
      </c>
      <c r="E3946" s="0" t="inlineStr">
        <is>
          <t>IOWA CRAFT M WE:160600E-2XL</t>
        </is>
      </c>
      <c r="F3946" s="2">
        <v>800160600085</v>
      </c>
      <c r="G3946" s="0" t="inlineStr">
        <is>
          <t>MENS</t>
        </is>
      </c>
      <c r="H3946" s="0" t="inlineStr">
        <is>
          <t>2XL</t>
        </is>
      </c>
      <c r="I3946" s="0">
        <v>46.99</v>
      </c>
      <c r="J3946" s="0">
        <v>112</v>
      </c>
    </row>
    <row r="3947" spans="1:10" customHeight="0">
      <c r="A3947" s="0">
        <f>HYPERLINK("https://dl.dropboxusercontent.com/scl/fi/iey1jnskwe2z7bgo0mba1/s26-mockups-49.jpg?rlkey=smop694nnahficxe4oxoh6j1k&amp;dl=0","Click to download Image")</f>
      </c>
      <c r="B3947" s="0">
        <f>HYPERLINK("https://dl.dropboxusercontent.com/scl/fi/znaaxngls420yegr0b2la/mens-polo-size-chartscraft.jpg?rlkey=n86rlww57cw7rw2t5g0uem12o&amp;dl=0","Click to download SizeChart")</f>
      </c>
      <c r="C3947" s="0" t="inlineStr">
        <is>
          <t>Craft Men's Coolmax Polo</t>
        </is>
      </c>
      <c r="D3947" s="1">
        <v>160600</v>
      </c>
      <c r="E3947" s="0" t="inlineStr">
        <is>
          <t>IOWA CRAFT M WE:160600F-3XL</t>
        </is>
      </c>
      <c r="F3947" s="2">
        <v>800160600092</v>
      </c>
      <c r="G3947" s="0" t="inlineStr">
        <is>
          <t>MENS</t>
        </is>
      </c>
      <c r="H3947" s="0" t="inlineStr">
        <is>
          <t>3XL</t>
        </is>
      </c>
      <c r="I3947" s="0">
        <v>46.99</v>
      </c>
      <c r="J3947" s="0">
        <v>73</v>
      </c>
    </row>
    <row r="3948" spans="1:10" customHeight="0">
      <c r="A3948" s="0">
        <f>HYPERLINK("https://dl.dropboxusercontent.com/scl/fi/iey1jnskwe2z7bgo0mba1/s26-mockups-49.jpg?rlkey=smop694nnahficxe4oxoh6j1k&amp;dl=0","Click to download Image")</f>
      </c>
      <c r="B3948" s="0">
        <f>HYPERLINK("https://dl.dropboxusercontent.com/scl/fi/znaaxngls420yegr0b2la/mens-polo-size-chartscraft.jpg?rlkey=n86rlww57cw7rw2t5g0uem12o&amp;dl=0","Click to download SizeChart")</f>
      </c>
      <c r="C3948" s="0" t="inlineStr">
        <is>
          <t>Craft Men's Coolmax Polo</t>
        </is>
      </c>
      <c r="D3948" s="1">
        <v>160600</v>
      </c>
      <c r="E3948" s="0" t="inlineStr">
        <is>
          <t>IOWA CRAFT M WE:160600Z-12PK</t>
        </is>
      </c>
      <c r="F3948" s="2">
        <v>800160600993</v>
      </c>
      <c r="G3948" s="0" t="inlineStr">
        <is>
          <t>MENS</t>
        </is>
      </c>
      <c r="H3948" s="0" t="inlineStr">
        <is>
          <t>12 PACK</t>
        </is>
      </c>
      <c r="I3948" s="0">
        <v>438</v>
      </c>
      <c r="J3948" s="0">
        <v>17</v>
      </c>
    </row>
    <row r="3949" spans="1:10" customHeight="0">
      <c r="A3949" s="0">
        <f>HYPERLINK("https://dl.dropboxusercontent.com/scl/fi/lj5huabvkhwbq35pxgmxl/s26-mockups-44.jpg?rlkey=dioxiyfb6ipqf1jgzegqevxbe&amp;dl=0","Click to download Image")</f>
      </c>
      <c r="B3949" s="0">
        <f>HYPERLINK("https://dl.dropboxusercontent.com/scl/fi/c1ss5yhf1trmimoyg77dc/mens-t-shirt-size-chartsgabe.jpg?rlkey=ia5q2ofzcm5nuq9frfaqcfwqd&amp;dl=0","Click to download SizeChart")</f>
      </c>
      <c r="C3949" s="0" t="inlineStr">
        <is>
          <t>Gabe Men's 3/4 Sleeve Shirt</t>
        </is>
      </c>
      <c r="D3949" s="1">
        <v>160605</v>
      </c>
      <c r="E3949" s="0" t="inlineStr">
        <is>
          <t>IOWA GABE M BK:160605A-S</t>
        </is>
      </c>
      <c r="F3949" s="2">
        <v>800160605042</v>
      </c>
      <c r="G3949" s="0" t="inlineStr">
        <is>
          <t>MENS</t>
        </is>
      </c>
      <c r="H3949" s="0" t="inlineStr">
        <is>
          <t>S</t>
        </is>
      </c>
      <c r="I3949" s="0">
        <v>29.99</v>
      </c>
      <c r="J3949" s="0">
        <v>12</v>
      </c>
    </row>
    <row r="3950" spans="1:10" customHeight="0">
      <c r="A3950" s="0">
        <f>HYPERLINK("https://dl.dropboxusercontent.com/scl/fi/lj5huabvkhwbq35pxgmxl/s26-mockups-44.jpg?rlkey=dioxiyfb6ipqf1jgzegqevxbe&amp;dl=0","Click to download Image")</f>
      </c>
      <c r="B3950" s="0">
        <f>HYPERLINK("https://dl.dropboxusercontent.com/scl/fi/c1ss5yhf1trmimoyg77dc/mens-t-shirt-size-chartsgabe.jpg?rlkey=ia5q2ofzcm5nuq9frfaqcfwqd&amp;dl=0","Click to download SizeChart")</f>
      </c>
      <c r="C3950" s="0" t="inlineStr">
        <is>
          <t>Gabe Men's 3/4 Sleeve Shirt</t>
        </is>
      </c>
      <c r="D3950" s="1">
        <v>160605</v>
      </c>
      <c r="E3950" s="0" t="inlineStr">
        <is>
          <t>IOWA GABE M BK:160605B-M</t>
        </is>
      </c>
      <c r="F3950" s="2">
        <v>800160605059</v>
      </c>
      <c r="G3950" s="0" t="inlineStr">
        <is>
          <t>MENS</t>
        </is>
      </c>
      <c r="H3950" s="0" t="inlineStr">
        <is>
          <t>M</t>
        </is>
      </c>
      <c r="I3950" s="0">
        <v>29.99</v>
      </c>
      <c r="J3950" s="0">
        <v>26</v>
      </c>
    </row>
    <row r="3951" spans="1:10" customHeight="0">
      <c r="A3951" s="0">
        <f>HYPERLINK("https://dl.dropboxusercontent.com/scl/fi/lj5huabvkhwbq35pxgmxl/s26-mockups-44.jpg?rlkey=dioxiyfb6ipqf1jgzegqevxbe&amp;dl=0","Click to download Image")</f>
      </c>
      <c r="B3951" s="0">
        <f>HYPERLINK("https://dl.dropboxusercontent.com/scl/fi/c1ss5yhf1trmimoyg77dc/mens-t-shirt-size-chartsgabe.jpg?rlkey=ia5q2ofzcm5nuq9frfaqcfwqd&amp;dl=0","Click to download SizeChart")</f>
      </c>
      <c r="C3951" s="0" t="inlineStr">
        <is>
          <t>Gabe Men's 3/4 Sleeve Shirt</t>
        </is>
      </c>
      <c r="D3951" s="1">
        <v>160605</v>
      </c>
      <c r="E3951" s="0" t="inlineStr">
        <is>
          <t>IOWA GABE M BK:160605C-L</t>
        </is>
      </c>
      <c r="F3951" s="2">
        <v>800160605066</v>
      </c>
      <c r="G3951" s="0" t="inlineStr">
        <is>
          <t>MENS</t>
        </is>
      </c>
      <c r="H3951" s="0" t="inlineStr">
        <is>
          <t>L</t>
        </is>
      </c>
      <c r="I3951" s="0">
        <v>29.99</v>
      </c>
      <c r="J3951" s="0">
        <v>38</v>
      </c>
    </row>
    <row r="3952" spans="1:10" customHeight="0">
      <c r="A3952" s="0">
        <f>HYPERLINK("https://dl.dropboxusercontent.com/scl/fi/lj5huabvkhwbq35pxgmxl/s26-mockups-44.jpg?rlkey=dioxiyfb6ipqf1jgzegqevxbe&amp;dl=0","Click to download Image")</f>
      </c>
      <c r="B3952" s="0">
        <f>HYPERLINK("https://dl.dropboxusercontent.com/scl/fi/c1ss5yhf1trmimoyg77dc/mens-t-shirt-size-chartsgabe.jpg?rlkey=ia5q2ofzcm5nuq9frfaqcfwqd&amp;dl=0","Click to download SizeChart")</f>
      </c>
      <c r="C3952" s="0" t="inlineStr">
        <is>
          <t>Gabe Men's 3/4 Sleeve Shirt</t>
        </is>
      </c>
      <c r="D3952" s="1">
        <v>160605</v>
      </c>
      <c r="E3952" s="0" t="inlineStr">
        <is>
          <t>IOWA GABE M BK:160605D-XL</t>
        </is>
      </c>
      <c r="F3952" s="2">
        <v>800160605073</v>
      </c>
      <c r="G3952" s="0" t="inlineStr">
        <is>
          <t>MENS</t>
        </is>
      </c>
      <c r="H3952" s="0" t="inlineStr">
        <is>
          <t>XL</t>
        </is>
      </c>
      <c r="I3952" s="0">
        <v>29.99</v>
      </c>
      <c r="J3952" s="0">
        <v>40</v>
      </c>
    </row>
    <row r="3953" spans="1:10" customHeight="0">
      <c r="A3953" s="0">
        <f>HYPERLINK("https://dl.dropboxusercontent.com/scl/fi/lj5huabvkhwbq35pxgmxl/s26-mockups-44.jpg?rlkey=dioxiyfb6ipqf1jgzegqevxbe&amp;dl=0","Click to download Image")</f>
      </c>
      <c r="B3953" s="0">
        <f>HYPERLINK("https://dl.dropboxusercontent.com/scl/fi/c1ss5yhf1trmimoyg77dc/mens-t-shirt-size-chartsgabe.jpg?rlkey=ia5q2ofzcm5nuq9frfaqcfwqd&amp;dl=0","Click to download SizeChart")</f>
      </c>
      <c r="C3953" s="0" t="inlineStr">
        <is>
          <t>Gabe Men's 3/4 Sleeve Shirt</t>
        </is>
      </c>
      <c r="D3953" s="1">
        <v>160605</v>
      </c>
      <c r="E3953" s="0" t="inlineStr">
        <is>
          <t>IOWA GABE M BK:160605E-2XL</t>
        </is>
      </c>
      <c r="F3953" s="2">
        <v>800160605080</v>
      </c>
      <c r="G3953" s="0" t="inlineStr">
        <is>
          <t>MENS</t>
        </is>
      </c>
      <c r="H3953" s="0" t="inlineStr">
        <is>
          <t>2XL</t>
        </is>
      </c>
      <c r="I3953" s="0">
        <v>31.99</v>
      </c>
      <c r="J3953" s="0">
        <v>26</v>
      </c>
    </row>
    <row r="3954" spans="1:10" customHeight="0">
      <c r="A3954" s="0">
        <f>HYPERLINK("https://dl.dropboxusercontent.com/scl/fi/lj5huabvkhwbq35pxgmxl/s26-mockups-44.jpg?rlkey=dioxiyfb6ipqf1jgzegqevxbe&amp;dl=0","Click to download Image")</f>
      </c>
      <c r="B3954" s="0">
        <f>HYPERLINK("https://dl.dropboxusercontent.com/scl/fi/c1ss5yhf1trmimoyg77dc/mens-t-shirt-size-chartsgabe.jpg?rlkey=ia5q2ofzcm5nuq9frfaqcfwqd&amp;dl=0","Click to download SizeChart")</f>
      </c>
      <c r="C3954" s="0" t="inlineStr">
        <is>
          <t>Gabe Men's 3/4 Sleeve Shirt</t>
        </is>
      </c>
      <c r="D3954" s="1">
        <v>160605</v>
      </c>
      <c r="E3954" s="0" t="inlineStr">
        <is>
          <t>IOWA GABE M BK:160605F-3XL</t>
        </is>
      </c>
      <c r="F3954" s="2">
        <v>800160605097</v>
      </c>
      <c r="G3954" s="0" t="inlineStr">
        <is>
          <t>MENS</t>
        </is>
      </c>
      <c r="H3954" s="0" t="inlineStr">
        <is>
          <t>3XL</t>
        </is>
      </c>
      <c r="I3954" s="0">
        <v>31.99</v>
      </c>
      <c r="J3954" s="0">
        <v>12</v>
      </c>
    </row>
    <row r="3955" spans="1:10" customHeight="0">
      <c r="A3955" s="0">
        <f>HYPERLINK("https://dl.dropboxusercontent.com/scl/fi/lj5huabvkhwbq35pxgmxl/s26-mockups-44.jpg?rlkey=dioxiyfb6ipqf1jgzegqevxbe&amp;dl=0","Click to download Image")</f>
      </c>
      <c r="B3955" s="0">
        <f>HYPERLINK("https://dl.dropboxusercontent.com/scl/fi/c1ss5yhf1trmimoyg77dc/mens-t-shirt-size-chartsgabe.jpg?rlkey=ia5q2ofzcm5nuq9frfaqcfwqd&amp;dl=0","Click to download SizeChart")</f>
      </c>
      <c r="C3955" s="0" t="inlineStr">
        <is>
          <t>Gabe Men's 3/4 Sleeve Shirt</t>
        </is>
      </c>
      <c r="D3955" s="1">
        <v>160605</v>
      </c>
      <c r="E3955" s="0" t="inlineStr">
        <is>
          <t>IOWA GABE M BK:160605Z-12PK</t>
        </is>
      </c>
      <c r="F3955" s="2">
        <v>800160605998</v>
      </c>
      <c r="G3955" s="0" t="inlineStr">
        <is>
          <t>MENS</t>
        </is>
      </c>
      <c r="H3955" s="0" t="inlineStr">
        <is>
          <t>12 PACK</t>
        </is>
      </c>
      <c r="I3955" s="0">
        <v>294</v>
      </c>
      <c r="J3955" s="0">
        <v>6</v>
      </c>
    </row>
    <row r="3956" spans="1:10" customHeight="0">
      <c r="A3956" s="0">
        <f>HYPERLINK("https://dl.dropboxusercontent.com/scl/fi/uv1a1n54jsi40ziovzn8s/s26-mockups-21.jpg?rlkey=lzrx82iuugsorfa24qbpdtufw&amp;dl=0","Click to download Image")</f>
      </c>
      <c r="B3956" s="0">
        <f>HYPERLINK("https://dl.dropboxusercontent.com/scl/fi/bq6ijuft392f7vbe9v7gt/mens-t-shirt-size-chartsslate-ls.jpg?rlkey=s9dyvb9an1g27f45zo1v9g7yv&amp;dl=0","Click to download SizeChart")</f>
      </c>
      <c r="C3956" s="0" t="inlineStr">
        <is>
          <t>Slate Mens Long Sleeve Shirt</t>
        </is>
      </c>
      <c r="D3956" s="1">
        <v>160609</v>
      </c>
      <c r="E3956" s="0" t="inlineStr">
        <is>
          <t>IOWA SLATEL M BK:160609A-S</t>
        </is>
      </c>
      <c r="F3956" s="2">
        <v>800160609040</v>
      </c>
      <c r="G3956" s="0" t="inlineStr">
        <is>
          <t>MENS</t>
        </is>
      </c>
      <c r="H3956" s="0" t="inlineStr">
        <is>
          <t>S</t>
        </is>
      </c>
      <c r="I3956" s="0">
        <v>32.99</v>
      </c>
      <c r="J3956" s="0">
        <v>52</v>
      </c>
    </row>
    <row r="3957" spans="1:10" customHeight="0">
      <c r="A3957" s="0">
        <f>HYPERLINK("https://dl.dropboxusercontent.com/scl/fi/uv1a1n54jsi40ziovzn8s/s26-mockups-21.jpg?rlkey=lzrx82iuugsorfa24qbpdtufw&amp;dl=0","Click to download Image")</f>
      </c>
      <c r="B3957" s="0">
        <f>HYPERLINK("https://dl.dropboxusercontent.com/scl/fi/bq6ijuft392f7vbe9v7gt/mens-t-shirt-size-chartsslate-ls.jpg?rlkey=s9dyvb9an1g27f45zo1v9g7yv&amp;dl=0","Click to download SizeChart")</f>
      </c>
      <c r="C3957" s="0" t="inlineStr">
        <is>
          <t>Slate Mens Long Sleeve Shirt</t>
        </is>
      </c>
      <c r="D3957" s="1">
        <v>160609</v>
      </c>
      <c r="E3957" s="0" t="inlineStr">
        <is>
          <t>IOWA SLATEL M BK:160609B-M</t>
        </is>
      </c>
      <c r="F3957" s="2">
        <v>800160609057</v>
      </c>
      <c r="G3957" s="0" t="inlineStr">
        <is>
          <t>MENS</t>
        </is>
      </c>
      <c r="H3957" s="0" t="inlineStr">
        <is>
          <t>M</t>
        </is>
      </c>
      <c r="I3957" s="0">
        <v>32.99</v>
      </c>
      <c r="J3957" s="0">
        <v>52</v>
      </c>
    </row>
    <row r="3958" spans="1:10" customHeight="0">
      <c r="A3958" s="0">
        <f>HYPERLINK("https://dl.dropboxusercontent.com/scl/fi/uv1a1n54jsi40ziovzn8s/s26-mockups-21.jpg?rlkey=lzrx82iuugsorfa24qbpdtufw&amp;dl=0","Click to download Image")</f>
      </c>
      <c r="B3958" s="0">
        <f>HYPERLINK("https://dl.dropboxusercontent.com/scl/fi/bq6ijuft392f7vbe9v7gt/mens-t-shirt-size-chartsslate-ls.jpg?rlkey=s9dyvb9an1g27f45zo1v9g7yv&amp;dl=0","Click to download SizeChart")</f>
      </c>
      <c r="C3958" s="0" t="inlineStr">
        <is>
          <t>Slate Mens Long Sleeve Shirt</t>
        </is>
      </c>
      <c r="D3958" s="1">
        <v>160609</v>
      </c>
      <c r="E3958" s="0" t="inlineStr">
        <is>
          <t>IOWA SLATEL M BK:160609C-L</t>
        </is>
      </c>
      <c r="F3958" s="2">
        <v>800160609064</v>
      </c>
      <c r="G3958" s="0" t="inlineStr">
        <is>
          <t>MENS</t>
        </is>
      </c>
      <c r="H3958" s="0" t="inlineStr">
        <is>
          <t>L</t>
        </is>
      </c>
      <c r="I3958" s="0">
        <v>32.99</v>
      </c>
      <c r="J3958" s="0">
        <v>52</v>
      </c>
    </row>
    <row r="3959" spans="1:10" customHeight="0">
      <c r="A3959" s="0">
        <f>HYPERLINK("https://dl.dropboxusercontent.com/scl/fi/uv1a1n54jsi40ziovzn8s/s26-mockups-21.jpg?rlkey=lzrx82iuugsorfa24qbpdtufw&amp;dl=0","Click to download Image")</f>
      </c>
      <c r="B3959" s="0">
        <f>HYPERLINK("https://dl.dropboxusercontent.com/scl/fi/bq6ijuft392f7vbe9v7gt/mens-t-shirt-size-chartsslate-ls.jpg?rlkey=s9dyvb9an1g27f45zo1v9g7yv&amp;dl=0","Click to download SizeChart")</f>
      </c>
      <c r="C3959" s="0" t="inlineStr">
        <is>
          <t>Slate Mens Long Sleeve Shirt</t>
        </is>
      </c>
      <c r="D3959" s="1">
        <v>160609</v>
      </c>
      <c r="E3959" s="0" t="inlineStr">
        <is>
          <t>IOWA SLATEL M BK:160609D-XL</t>
        </is>
      </c>
      <c r="F3959" s="2">
        <v>800160609071</v>
      </c>
      <c r="G3959" s="0" t="inlineStr">
        <is>
          <t>MENS</t>
        </is>
      </c>
      <c r="H3959" s="0" t="inlineStr">
        <is>
          <t>XL</t>
        </is>
      </c>
      <c r="I3959" s="0">
        <v>32.99</v>
      </c>
      <c r="J3959" s="0">
        <v>52</v>
      </c>
    </row>
    <row r="3960" spans="1:10" customHeight="0">
      <c r="A3960" s="0">
        <f>HYPERLINK("https://dl.dropboxusercontent.com/scl/fi/uv1a1n54jsi40ziovzn8s/s26-mockups-21.jpg?rlkey=lzrx82iuugsorfa24qbpdtufw&amp;dl=0","Click to download Image")</f>
      </c>
      <c r="B3960" s="0">
        <f>HYPERLINK("https://dl.dropboxusercontent.com/scl/fi/bq6ijuft392f7vbe9v7gt/mens-t-shirt-size-chartsslate-ls.jpg?rlkey=s9dyvb9an1g27f45zo1v9g7yv&amp;dl=0","Click to download SizeChart")</f>
      </c>
      <c r="C3960" s="0" t="inlineStr">
        <is>
          <t>Slate Mens Long Sleeve Shirt</t>
        </is>
      </c>
      <c r="D3960" s="1">
        <v>160609</v>
      </c>
      <c r="E3960" s="0" t="inlineStr">
        <is>
          <t>IOWA SLATEL M BK:160609E-2XL</t>
        </is>
      </c>
      <c r="F3960" s="2">
        <v>800160609088</v>
      </c>
      <c r="G3960" s="0" t="inlineStr">
        <is>
          <t>MENS</t>
        </is>
      </c>
      <c r="H3960" s="0" t="inlineStr">
        <is>
          <t>2XL</t>
        </is>
      </c>
      <c r="I3960" s="0">
        <v>34.99</v>
      </c>
      <c r="J3960" s="0">
        <v>52</v>
      </c>
    </row>
    <row r="3961" spans="1:10" customHeight="0">
      <c r="A3961" s="0">
        <f>HYPERLINK("https://dl.dropboxusercontent.com/scl/fi/uv1a1n54jsi40ziovzn8s/s26-mockups-21.jpg?rlkey=lzrx82iuugsorfa24qbpdtufw&amp;dl=0","Click to download Image")</f>
      </c>
      <c r="B3961" s="0">
        <f>HYPERLINK("https://dl.dropboxusercontent.com/scl/fi/bq6ijuft392f7vbe9v7gt/mens-t-shirt-size-chartsslate-ls.jpg?rlkey=s9dyvb9an1g27f45zo1v9g7yv&amp;dl=0","Click to download SizeChart")</f>
      </c>
      <c r="C3961" s="0" t="inlineStr">
        <is>
          <t>Slate Mens Long Sleeve Shirt</t>
        </is>
      </c>
      <c r="D3961" s="1">
        <v>160609</v>
      </c>
      <c r="E3961" s="0" t="inlineStr">
        <is>
          <t>IOWA SLATEL M BK:160609F-3XL</t>
        </is>
      </c>
      <c r="F3961" s="2">
        <v>800160609095</v>
      </c>
      <c r="G3961" s="0" t="inlineStr">
        <is>
          <t>MENS</t>
        </is>
      </c>
      <c r="H3961" s="0" t="inlineStr">
        <is>
          <t>3XL</t>
        </is>
      </c>
      <c r="I3961" s="0">
        <v>34.99</v>
      </c>
      <c r="J3961" s="0">
        <v>52</v>
      </c>
    </row>
    <row r="3962" spans="1:10" customHeight="0">
      <c r="A3962" s="0">
        <f>HYPERLINK("https://dl.dropboxusercontent.com/scl/fi/uv1a1n54jsi40ziovzn8s/s26-mockups-21.jpg?rlkey=lzrx82iuugsorfa24qbpdtufw&amp;dl=0","Click to download Image")</f>
      </c>
      <c r="B3962" s="0">
        <f>HYPERLINK("https://dl.dropboxusercontent.com/scl/fi/bq6ijuft392f7vbe9v7gt/mens-t-shirt-size-chartsslate-ls.jpg?rlkey=s9dyvb9an1g27f45zo1v9g7yv&amp;dl=0","Click to download SizeChart")</f>
      </c>
      <c r="C3962" s="0" t="inlineStr">
        <is>
          <t>Slate Mens Long Sleeve Shirt</t>
        </is>
      </c>
      <c r="D3962" s="1">
        <v>160609</v>
      </c>
      <c r="E3962" s="0" t="inlineStr">
        <is>
          <t>IOWA SLATEL M BK:160609Z-12PK</t>
        </is>
      </c>
      <c r="F3962" s="2">
        <v>800160609996</v>
      </c>
      <c r="G3962" s="0" t="inlineStr">
        <is>
          <t>MENS</t>
        </is>
      </c>
      <c r="H3962" s="0" t="inlineStr">
        <is>
          <t>12 PACK</t>
        </is>
      </c>
      <c r="I3962" s="0">
        <v>322.8</v>
      </c>
      <c r="J3962" s="0">
        <v>4</v>
      </c>
    </row>
    <row r="3963" spans="1:10" customHeight="0">
      <c r="A3963" s="0">
        <f>HYPERLINK("https://dl.dropboxusercontent.com/scl/fi/6uowyne3ij2delgisur1f/slate-ls.jpg?rlkey=d8xqqtfufkvy0b9noyi8zymqr&amp;dl=0","Click to download Image")</f>
      </c>
      <c r="B3963" s="0">
        <f>HYPERLINK("https://dl.dropboxusercontent.com/scl/fi/bq6ijuft392f7vbe9v7gt/mens-t-shirt-size-chartsslate-ls.jpg?rlkey=s9dyvb9an1g27f45zo1v9g7yv&amp;dl=0","Click to download SizeChart")</f>
      </c>
      <c r="C3963" s="0" t="inlineStr">
        <is>
          <t>Slate Mens Long Sleeve Shirt</t>
        </is>
      </c>
      <c r="D3963" s="1">
        <v>160610</v>
      </c>
      <c r="E3963" s="0" t="inlineStr">
        <is>
          <t>IOWA SLATEL M GD:160610A-S</t>
        </is>
      </c>
      <c r="F3963" s="2">
        <v>800160610046</v>
      </c>
      <c r="G3963" s="0" t="inlineStr">
        <is>
          <t>MENS</t>
        </is>
      </c>
      <c r="H3963" s="0" t="inlineStr">
        <is>
          <t>S</t>
        </is>
      </c>
      <c r="I3963" s="0">
        <v>32.99</v>
      </c>
      <c r="J3963" s="0">
        <v>52</v>
      </c>
    </row>
    <row r="3964" spans="1:10" customHeight="0">
      <c r="A3964" s="0">
        <f>HYPERLINK("https://dl.dropboxusercontent.com/scl/fi/6uowyne3ij2delgisur1f/slate-ls.jpg?rlkey=d8xqqtfufkvy0b9noyi8zymqr&amp;dl=0","Click to download Image")</f>
      </c>
      <c r="B3964" s="0">
        <f>HYPERLINK("https://dl.dropboxusercontent.com/scl/fi/bq6ijuft392f7vbe9v7gt/mens-t-shirt-size-chartsslate-ls.jpg?rlkey=s9dyvb9an1g27f45zo1v9g7yv&amp;dl=0","Click to download SizeChart")</f>
      </c>
      <c r="C3964" s="0" t="inlineStr">
        <is>
          <t>Slate Mens Long Sleeve Shirt</t>
        </is>
      </c>
      <c r="D3964" s="1">
        <v>160610</v>
      </c>
      <c r="E3964" s="0" t="inlineStr">
        <is>
          <t>IOWA SLATEL M GD:160610B-M</t>
        </is>
      </c>
      <c r="F3964" s="2">
        <v>800160610053</v>
      </c>
      <c r="G3964" s="0" t="inlineStr">
        <is>
          <t>MENS</t>
        </is>
      </c>
      <c r="H3964" s="0" t="inlineStr">
        <is>
          <t>M</t>
        </is>
      </c>
      <c r="I3964" s="0">
        <v>32.99</v>
      </c>
      <c r="J3964" s="0">
        <v>118</v>
      </c>
    </row>
    <row r="3965" spans="1:10" customHeight="0">
      <c r="A3965" s="0">
        <f>HYPERLINK("https://dl.dropboxusercontent.com/scl/fi/6uowyne3ij2delgisur1f/slate-ls.jpg?rlkey=d8xqqtfufkvy0b9noyi8zymqr&amp;dl=0","Click to download Image")</f>
      </c>
      <c r="B3965" s="0">
        <f>HYPERLINK("https://dl.dropboxusercontent.com/scl/fi/bq6ijuft392f7vbe9v7gt/mens-t-shirt-size-chartsslate-ls.jpg?rlkey=s9dyvb9an1g27f45zo1v9g7yv&amp;dl=0","Click to download SizeChart")</f>
      </c>
      <c r="C3965" s="0" t="inlineStr">
        <is>
          <t>Slate Mens Long Sleeve Shirt</t>
        </is>
      </c>
      <c r="D3965" s="1">
        <v>160610</v>
      </c>
      <c r="E3965" s="0" t="inlineStr">
        <is>
          <t>IOWA SLATEL M GD:160610C-L</t>
        </is>
      </c>
      <c r="F3965" s="2">
        <v>800160610060</v>
      </c>
      <c r="G3965" s="0" t="inlineStr">
        <is>
          <t>MENS</t>
        </is>
      </c>
      <c r="H3965" s="0" t="inlineStr">
        <is>
          <t>L</t>
        </is>
      </c>
      <c r="I3965" s="0">
        <v>32.99</v>
      </c>
      <c r="J3965" s="0">
        <v>140</v>
      </c>
    </row>
    <row r="3966" spans="1:10" customHeight="0">
      <c r="A3966" s="0">
        <f>HYPERLINK("https://dl.dropboxusercontent.com/scl/fi/6uowyne3ij2delgisur1f/slate-ls.jpg?rlkey=d8xqqtfufkvy0b9noyi8zymqr&amp;dl=0","Click to download Image")</f>
      </c>
      <c r="B3966" s="0">
        <f>HYPERLINK("https://dl.dropboxusercontent.com/scl/fi/bq6ijuft392f7vbe9v7gt/mens-t-shirt-size-chartsslate-ls.jpg?rlkey=s9dyvb9an1g27f45zo1v9g7yv&amp;dl=0","Click to download SizeChart")</f>
      </c>
      <c r="C3966" s="0" t="inlineStr">
        <is>
          <t>Slate Mens Long Sleeve Shirt</t>
        </is>
      </c>
      <c r="D3966" s="1">
        <v>160610</v>
      </c>
      <c r="E3966" s="0" t="inlineStr">
        <is>
          <t>IOWA SLATEL M GD:160610D-XL</t>
        </is>
      </c>
      <c r="F3966" s="2">
        <v>800160610077</v>
      </c>
      <c r="G3966" s="0" t="inlineStr">
        <is>
          <t>MENS</t>
        </is>
      </c>
      <c r="H3966" s="0" t="inlineStr">
        <is>
          <t>XL</t>
        </is>
      </c>
      <c r="I3966" s="0">
        <v>32.99</v>
      </c>
      <c r="J3966" s="0">
        <v>140</v>
      </c>
    </row>
    <row r="3967" spans="1:10" customHeight="0">
      <c r="A3967" s="0">
        <f>HYPERLINK("https://dl.dropboxusercontent.com/scl/fi/6uowyne3ij2delgisur1f/slate-ls.jpg?rlkey=d8xqqtfufkvy0b9noyi8zymqr&amp;dl=0","Click to download Image")</f>
      </c>
      <c r="B3967" s="0">
        <f>HYPERLINK("https://dl.dropboxusercontent.com/scl/fi/bq6ijuft392f7vbe9v7gt/mens-t-shirt-size-chartsslate-ls.jpg?rlkey=s9dyvb9an1g27f45zo1v9g7yv&amp;dl=0","Click to download SizeChart")</f>
      </c>
      <c r="C3967" s="0" t="inlineStr">
        <is>
          <t>Slate Mens Long Sleeve Shirt</t>
        </is>
      </c>
      <c r="D3967" s="1">
        <v>160610</v>
      </c>
      <c r="E3967" s="0" t="inlineStr">
        <is>
          <t>IOWA SLATEL M GD:160610E-2XL</t>
        </is>
      </c>
      <c r="F3967" s="2">
        <v>800160610084</v>
      </c>
      <c r="G3967" s="0" t="inlineStr">
        <is>
          <t>MENS</t>
        </is>
      </c>
      <c r="H3967" s="0" t="inlineStr">
        <is>
          <t>2XL</t>
        </is>
      </c>
      <c r="I3967" s="0">
        <v>34.99</v>
      </c>
      <c r="J3967" s="0">
        <v>118</v>
      </c>
    </row>
    <row r="3968" spans="1:10" customHeight="0">
      <c r="A3968" s="0">
        <f>HYPERLINK("https://dl.dropboxusercontent.com/scl/fi/6uowyne3ij2delgisur1f/slate-ls.jpg?rlkey=d8xqqtfufkvy0b9noyi8zymqr&amp;dl=0","Click to download Image")</f>
      </c>
      <c r="B3968" s="0">
        <f>HYPERLINK("https://dl.dropboxusercontent.com/scl/fi/bq6ijuft392f7vbe9v7gt/mens-t-shirt-size-chartsslate-ls.jpg?rlkey=s9dyvb9an1g27f45zo1v9g7yv&amp;dl=0","Click to download SizeChart")</f>
      </c>
      <c r="C3968" s="0" t="inlineStr">
        <is>
          <t>Slate Mens Long Sleeve Shirt</t>
        </is>
      </c>
      <c r="D3968" s="1">
        <v>160610</v>
      </c>
      <c r="E3968" s="0" t="inlineStr">
        <is>
          <t>IOWA SLATEL M GD:160610F-3XL</t>
        </is>
      </c>
      <c r="F3968" s="2">
        <v>800160610091</v>
      </c>
      <c r="G3968" s="0" t="inlineStr">
        <is>
          <t>MENS</t>
        </is>
      </c>
      <c r="H3968" s="0" t="inlineStr">
        <is>
          <t>3XL</t>
        </is>
      </c>
      <c r="I3968" s="0">
        <v>34.99</v>
      </c>
      <c r="J3968" s="0">
        <v>52</v>
      </c>
    </row>
    <row r="3969" spans="1:10" customHeight="0">
      <c r="A3969" s="0">
        <f>HYPERLINK("https://dl.dropboxusercontent.com/scl/fi/yv2judstghtb01oc027ws/mock-ia-slatel-m-bk-v1-02.jpg?rlkey=88jru939r1r5dvjt246hyoydy&amp;dl=0","Click to download Image")</f>
      </c>
      <c r="B3969" s="0">
        <f>HYPERLINK("https://dl.dropboxusercontent.com/scl/fi/bq6ijuft392f7vbe9v7gt/mens-t-shirt-size-chartsslate-ls.jpg?rlkey=s9dyvb9an1g27f45zo1v9g7yv&amp;dl=0","Click to download SizeChart")</f>
      </c>
      <c r="C3969" s="0" t="inlineStr">
        <is>
          <t>Slate Mens Long Sleeve Shirt</t>
        </is>
      </c>
      <c r="D3969" s="1">
        <v>162374</v>
      </c>
      <c r="E3969" s="0" t="inlineStr">
        <is>
          <t>IOWA SLATE M BK:162374A-S</t>
        </is>
      </c>
      <c r="F3969" s="2">
        <v>800162374045</v>
      </c>
      <c r="G3969" s="0" t="inlineStr">
        <is>
          <t>MENS</t>
        </is>
      </c>
      <c r="H3969" s="0" t="inlineStr">
        <is>
          <t>S</t>
        </is>
      </c>
      <c r="I3969" s="0">
        <v>32.99</v>
      </c>
      <c r="J3969" s="0">
        <v>73</v>
      </c>
    </row>
    <row r="3970" spans="1:10" customHeight="0">
      <c r="A3970" s="0">
        <f>HYPERLINK("https://dl.dropboxusercontent.com/scl/fi/yv2judstghtb01oc027ws/mock-ia-slatel-m-bk-v1-02.jpg?rlkey=88jru939r1r5dvjt246hyoydy&amp;dl=0","Click to download Image")</f>
      </c>
      <c r="B3970" s="0">
        <f>HYPERLINK("https://dl.dropboxusercontent.com/scl/fi/bq6ijuft392f7vbe9v7gt/mens-t-shirt-size-chartsslate-ls.jpg?rlkey=s9dyvb9an1g27f45zo1v9g7yv&amp;dl=0","Click to download SizeChart")</f>
      </c>
      <c r="C3970" s="0" t="inlineStr">
        <is>
          <t>Slate Mens Long Sleeve Shirt</t>
        </is>
      </c>
      <c r="D3970" s="1">
        <v>162374</v>
      </c>
      <c r="E3970" s="0" t="inlineStr">
        <is>
          <t>IOWA SLATE M BK:162374B-M</t>
        </is>
      </c>
      <c r="F3970" s="2">
        <v>800162374052</v>
      </c>
      <c r="G3970" s="0" t="inlineStr">
        <is>
          <t>MENS</t>
        </is>
      </c>
      <c r="H3970" s="0" t="inlineStr">
        <is>
          <t>M</t>
        </is>
      </c>
      <c r="I3970" s="0">
        <v>32.99</v>
      </c>
      <c r="J3970" s="0">
        <v>73</v>
      </c>
    </row>
    <row r="3971" spans="1:10" customHeight="0">
      <c r="A3971" s="0">
        <f>HYPERLINK("https://dl.dropboxusercontent.com/scl/fi/yv2judstghtb01oc027ws/mock-ia-slatel-m-bk-v1-02.jpg?rlkey=88jru939r1r5dvjt246hyoydy&amp;dl=0","Click to download Image")</f>
      </c>
      <c r="B3971" s="0">
        <f>HYPERLINK("https://dl.dropboxusercontent.com/scl/fi/bq6ijuft392f7vbe9v7gt/mens-t-shirt-size-chartsslate-ls.jpg?rlkey=s9dyvb9an1g27f45zo1v9g7yv&amp;dl=0","Click to download SizeChart")</f>
      </c>
      <c r="C3971" s="0" t="inlineStr">
        <is>
          <t>Slate Mens Long Sleeve Shirt</t>
        </is>
      </c>
      <c r="D3971" s="1">
        <v>162374</v>
      </c>
      <c r="E3971" s="0" t="inlineStr">
        <is>
          <t>IOWA SLATE M BK:162374C-L</t>
        </is>
      </c>
      <c r="F3971" s="2">
        <v>800162374069</v>
      </c>
      <c r="G3971" s="0" t="inlineStr">
        <is>
          <t>MENS</t>
        </is>
      </c>
      <c r="H3971" s="0" t="inlineStr">
        <is>
          <t>L</t>
        </is>
      </c>
      <c r="I3971" s="0">
        <v>32.99</v>
      </c>
      <c r="J3971" s="0">
        <v>73</v>
      </c>
    </row>
    <row r="3972" spans="1:10" customHeight="0">
      <c r="A3972" s="0">
        <f>HYPERLINK("https://dl.dropboxusercontent.com/scl/fi/yv2judstghtb01oc027ws/mock-ia-slatel-m-bk-v1-02.jpg?rlkey=88jru939r1r5dvjt246hyoydy&amp;dl=0","Click to download Image")</f>
      </c>
      <c r="B3972" s="0">
        <f>HYPERLINK("https://dl.dropboxusercontent.com/scl/fi/bq6ijuft392f7vbe9v7gt/mens-t-shirt-size-chartsslate-ls.jpg?rlkey=s9dyvb9an1g27f45zo1v9g7yv&amp;dl=0","Click to download SizeChart")</f>
      </c>
      <c r="C3972" s="0" t="inlineStr">
        <is>
          <t>Slate Mens Long Sleeve Shirt</t>
        </is>
      </c>
      <c r="D3972" s="1">
        <v>162374</v>
      </c>
      <c r="E3972" s="0" t="inlineStr">
        <is>
          <t>IOWA SLATE M BK:162374D-XL</t>
        </is>
      </c>
      <c r="F3972" s="2">
        <v>800162374076</v>
      </c>
      <c r="G3972" s="0" t="inlineStr">
        <is>
          <t>MENS</t>
        </is>
      </c>
      <c r="H3972" s="0" t="inlineStr">
        <is>
          <t>XL</t>
        </is>
      </c>
      <c r="I3972" s="0">
        <v>32.99</v>
      </c>
      <c r="J3972" s="0">
        <v>73</v>
      </c>
    </row>
    <row r="3973" spans="1:10" customHeight="0">
      <c r="A3973" s="0">
        <f>HYPERLINK("https://dl.dropboxusercontent.com/scl/fi/yv2judstghtb01oc027ws/mock-ia-slatel-m-bk-v1-02.jpg?rlkey=88jru939r1r5dvjt246hyoydy&amp;dl=0","Click to download Image")</f>
      </c>
      <c r="B3973" s="0">
        <f>HYPERLINK("https://dl.dropboxusercontent.com/scl/fi/bq6ijuft392f7vbe9v7gt/mens-t-shirt-size-chartsslate-ls.jpg?rlkey=s9dyvb9an1g27f45zo1v9g7yv&amp;dl=0","Click to download SizeChart")</f>
      </c>
      <c r="C3973" s="0" t="inlineStr">
        <is>
          <t>Slate Mens Long Sleeve Shirt</t>
        </is>
      </c>
      <c r="D3973" s="1">
        <v>162374</v>
      </c>
      <c r="E3973" s="0" t="inlineStr">
        <is>
          <t>IOWA SLATE M BK:162374E-2XL</t>
        </is>
      </c>
      <c r="F3973" s="2">
        <v>800162374083</v>
      </c>
      <c r="G3973" s="0" t="inlineStr">
        <is>
          <t>MENS</t>
        </is>
      </c>
      <c r="H3973" s="0" t="inlineStr">
        <is>
          <t>2XL</t>
        </is>
      </c>
      <c r="I3973" s="0">
        <v>34.99</v>
      </c>
      <c r="J3973" s="0">
        <v>73</v>
      </c>
    </row>
    <row r="3974" spans="1:10" customHeight="0">
      <c r="A3974" s="0">
        <f>HYPERLINK("https://dl.dropboxusercontent.com/scl/fi/yv2judstghtb01oc027ws/mock-ia-slatel-m-bk-v1-02.jpg?rlkey=88jru939r1r5dvjt246hyoydy&amp;dl=0","Click to download Image")</f>
      </c>
      <c r="B3974" s="0">
        <f>HYPERLINK("https://dl.dropboxusercontent.com/scl/fi/bq6ijuft392f7vbe9v7gt/mens-t-shirt-size-chartsslate-ls.jpg?rlkey=s9dyvb9an1g27f45zo1v9g7yv&amp;dl=0","Click to download SizeChart")</f>
      </c>
      <c r="C3974" s="0" t="inlineStr">
        <is>
          <t>Slate Mens Long Sleeve Shirt</t>
        </is>
      </c>
      <c r="D3974" s="1">
        <v>162374</v>
      </c>
      <c r="E3974" s="0" t="inlineStr">
        <is>
          <t>IOWA SLATE M BK:162374F-3XL</t>
        </is>
      </c>
      <c r="F3974" s="2">
        <v>800162374090</v>
      </c>
      <c r="G3974" s="0" t="inlineStr">
        <is>
          <t>MENS</t>
        </is>
      </c>
      <c r="H3974" s="0" t="inlineStr">
        <is>
          <t>3XL</t>
        </is>
      </c>
      <c r="I3974" s="0">
        <v>34.99</v>
      </c>
      <c r="J3974" s="0">
        <v>73</v>
      </c>
    </row>
    <row r="3975" spans="1:10" customHeight="0">
      <c r="A3975" s="0">
        <f>HYPERLINK("https://dl.dropboxusercontent.com/scl/fi/yv2judstghtb01oc027ws/mock-ia-slatel-m-bk-v1-02.jpg?rlkey=88jru939r1r5dvjt246hyoydy&amp;dl=0","Click to download Image")</f>
      </c>
      <c r="B3975" s="0">
        <f>HYPERLINK("https://dl.dropboxusercontent.com/scl/fi/bq6ijuft392f7vbe9v7gt/mens-t-shirt-size-chartsslate-ls.jpg?rlkey=s9dyvb9an1g27f45zo1v9g7yv&amp;dl=0","Click to download SizeChart")</f>
      </c>
      <c r="C3975" s="0" t="inlineStr">
        <is>
          <t>Slate Mens Long Sleeve Shirt</t>
        </is>
      </c>
      <c r="D3975" s="1">
        <v>162374</v>
      </c>
      <c r="E3975" s="0" t="inlineStr">
        <is>
          <t>IOWA SLATE M BK:162374Z-12PK</t>
        </is>
      </c>
      <c r="F3975" s="2">
        <v>800162374991</v>
      </c>
      <c r="G3975" s="0" t="inlineStr">
        <is>
          <t>MENS</t>
        </is>
      </c>
      <c r="H3975" s="0" t="inlineStr">
        <is>
          <t>12 PACK</t>
        </is>
      </c>
      <c r="I3975" s="0">
        <v>322.8</v>
      </c>
      <c r="J3975" s="0">
        <v>6</v>
      </c>
    </row>
    <row r="3976" spans="1:10" customHeight="0">
      <c r="A3976" s="0">
        <f>HYPERLINK("https://dl.dropboxusercontent.com/scl/fi/awr35nlw9d3y67yu3z5f1/mock-ia-slate-m-we-v1-02.jpg?rlkey=6pxe7yffui06xmsrzn9mtyrto&amp;dl=0","Click to download Image")</f>
      </c>
      <c r="B3976" s="0">
        <f>HYPERLINK("https://dl.dropboxusercontent.com/scl/fi/aywlrbu4eke4t65kww5ko/mens-t-shirt-size-chartsslate-cason.jpg?rlkey=hbuzy2ixnyl1k7grccvpbxho9&amp;dl=0","Click to download SizeChart")</f>
      </c>
      <c r="C3976" s="0" t="inlineStr">
        <is>
          <t>Slate Mens Short Sleeve Shirt</t>
        </is>
      </c>
      <c r="D3976" s="1">
        <v>160624</v>
      </c>
      <c r="E3976" s="0" t="inlineStr">
        <is>
          <t>IOWA SLATE M WE:160624A-S</t>
        </is>
      </c>
      <c r="F3976" s="2">
        <v>800160624043</v>
      </c>
      <c r="G3976" s="0" t="inlineStr">
        <is>
          <t>MENS</t>
        </is>
      </c>
      <c r="H3976" s="0" t="inlineStr">
        <is>
          <t>S</t>
        </is>
      </c>
      <c r="I3976" s="0">
        <v>29.99</v>
      </c>
      <c r="J3976" s="0">
        <v>73</v>
      </c>
    </row>
    <row r="3977" spans="1:10" customHeight="0">
      <c r="A3977" s="0">
        <f>HYPERLINK("https://dl.dropboxusercontent.com/scl/fi/awr35nlw9d3y67yu3z5f1/mock-ia-slate-m-we-v1-02.jpg?rlkey=6pxe7yffui06xmsrzn9mtyrto&amp;dl=0","Click to download Image")</f>
      </c>
      <c r="B3977" s="0">
        <f>HYPERLINK("https://dl.dropboxusercontent.com/scl/fi/aywlrbu4eke4t65kww5ko/mens-t-shirt-size-chartsslate-cason.jpg?rlkey=hbuzy2ixnyl1k7grccvpbxho9&amp;dl=0","Click to download SizeChart")</f>
      </c>
      <c r="C3977" s="0" t="inlineStr">
        <is>
          <t>Slate Mens Short Sleeve Shirt</t>
        </is>
      </c>
      <c r="D3977" s="1">
        <v>160624</v>
      </c>
      <c r="E3977" s="0" t="inlineStr">
        <is>
          <t>IOWA SLATE M WE:160624B-M</t>
        </is>
      </c>
      <c r="F3977" s="2">
        <v>800160624050</v>
      </c>
      <c r="G3977" s="0" t="inlineStr">
        <is>
          <t>MENS</t>
        </is>
      </c>
      <c r="H3977" s="0" t="inlineStr">
        <is>
          <t>M</t>
        </is>
      </c>
      <c r="I3977" s="0">
        <v>29.99</v>
      </c>
      <c r="J3977" s="0">
        <v>73</v>
      </c>
    </row>
    <row r="3978" spans="1:10" customHeight="0">
      <c r="A3978" s="0">
        <f>HYPERLINK("https://dl.dropboxusercontent.com/scl/fi/awr35nlw9d3y67yu3z5f1/mock-ia-slate-m-we-v1-02.jpg?rlkey=6pxe7yffui06xmsrzn9mtyrto&amp;dl=0","Click to download Image")</f>
      </c>
      <c r="B3978" s="0">
        <f>HYPERLINK("https://dl.dropboxusercontent.com/scl/fi/aywlrbu4eke4t65kww5ko/mens-t-shirt-size-chartsslate-cason.jpg?rlkey=hbuzy2ixnyl1k7grccvpbxho9&amp;dl=0","Click to download SizeChart")</f>
      </c>
      <c r="C3978" s="0" t="inlineStr">
        <is>
          <t>Slate Mens Short Sleeve Shirt</t>
        </is>
      </c>
      <c r="D3978" s="1">
        <v>160624</v>
      </c>
      <c r="E3978" s="0" t="inlineStr">
        <is>
          <t>IOWA SLATE M WE:160624C-L</t>
        </is>
      </c>
      <c r="F3978" s="2">
        <v>800160624067</v>
      </c>
      <c r="G3978" s="0" t="inlineStr">
        <is>
          <t>MENS</t>
        </is>
      </c>
      <c r="H3978" s="0" t="inlineStr">
        <is>
          <t>L</t>
        </is>
      </c>
      <c r="I3978" s="0">
        <v>29.99</v>
      </c>
      <c r="J3978" s="0">
        <v>73</v>
      </c>
    </row>
    <row r="3979" spans="1:10" customHeight="0">
      <c r="A3979" s="0">
        <f>HYPERLINK("https://dl.dropboxusercontent.com/scl/fi/awr35nlw9d3y67yu3z5f1/mock-ia-slate-m-we-v1-02.jpg?rlkey=6pxe7yffui06xmsrzn9mtyrto&amp;dl=0","Click to download Image")</f>
      </c>
      <c r="B3979" s="0">
        <f>HYPERLINK("https://dl.dropboxusercontent.com/scl/fi/aywlrbu4eke4t65kww5ko/mens-t-shirt-size-chartsslate-cason.jpg?rlkey=hbuzy2ixnyl1k7grccvpbxho9&amp;dl=0","Click to download SizeChart")</f>
      </c>
      <c r="C3979" s="0" t="inlineStr">
        <is>
          <t>Slate Mens Short Sleeve Shirt</t>
        </is>
      </c>
      <c r="D3979" s="1">
        <v>160624</v>
      </c>
      <c r="E3979" s="0" t="inlineStr">
        <is>
          <t>IOWA SLATE M WE:160624D-XL</t>
        </is>
      </c>
      <c r="F3979" s="2">
        <v>800160624074</v>
      </c>
      <c r="G3979" s="0" t="inlineStr">
        <is>
          <t>MENS</t>
        </is>
      </c>
      <c r="H3979" s="0" t="inlineStr">
        <is>
          <t>XL</t>
        </is>
      </c>
      <c r="I3979" s="0">
        <v>29.99</v>
      </c>
      <c r="J3979" s="0">
        <v>73</v>
      </c>
    </row>
    <row r="3980" spans="1:10" customHeight="0">
      <c r="A3980" s="0">
        <f>HYPERLINK("https://dl.dropboxusercontent.com/scl/fi/awr35nlw9d3y67yu3z5f1/mock-ia-slate-m-we-v1-02.jpg?rlkey=6pxe7yffui06xmsrzn9mtyrto&amp;dl=0","Click to download Image")</f>
      </c>
      <c r="B3980" s="0">
        <f>HYPERLINK("https://dl.dropboxusercontent.com/scl/fi/aywlrbu4eke4t65kww5ko/mens-t-shirt-size-chartsslate-cason.jpg?rlkey=hbuzy2ixnyl1k7grccvpbxho9&amp;dl=0","Click to download SizeChart")</f>
      </c>
      <c r="C3980" s="0" t="inlineStr">
        <is>
          <t>Slate Mens Short Sleeve Shirt</t>
        </is>
      </c>
      <c r="D3980" s="1">
        <v>160624</v>
      </c>
      <c r="E3980" s="0" t="inlineStr">
        <is>
          <t>IOWA SLATE M WE:160624E-2XL</t>
        </is>
      </c>
      <c r="F3980" s="2">
        <v>800160624081</v>
      </c>
      <c r="G3980" s="0" t="inlineStr">
        <is>
          <t>MENS</t>
        </is>
      </c>
      <c r="H3980" s="0" t="inlineStr">
        <is>
          <t>2XL</t>
        </is>
      </c>
      <c r="I3980" s="0">
        <v>31.99</v>
      </c>
      <c r="J3980" s="0">
        <v>73</v>
      </c>
    </row>
    <row r="3981" spans="1:10" customHeight="0">
      <c r="A3981" s="0">
        <f>HYPERLINK("https://dl.dropboxusercontent.com/scl/fi/awr35nlw9d3y67yu3z5f1/mock-ia-slate-m-we-v1-02.jpg?rlkey=6pxe7yffui06xmsrzn9mtyrto&amp;dl=0","Click to download Image")</f>
      </c>
      <c r="B3981" s="0">
        <f>HYPERLINK("https://dl.dropboxusercontent.com/scl/fi/aywlrbu4eke4t65kww5ko/mens-t-shirt-size-chartsslate-cason.jpg?rlkey=hbuzy2ixnyl1k7grccvpbxho9&amp;dl=0","Click to download SizeChart")</f>
      </c>
      <c r="C3981" s="0" t="inlineStr">
        <is>
          <t>Slate Mens Short Sleeve Shirt</t>
        </is>
      </c>
      <c r="D3981" s="1">
        <v>160624</v>
      </c>
      <c r="E3981" s="0" t="inlineStr">
        <is>
          <t>IOWA SLATE M WE:160624F-3XL</t>
        </is>
      </c>
      <c r="F3981" s="2">
        <v>800160624098</v>
      </c>
      <c r="G3981" s="0" t="inlineStr">
        <is>
          <t>MENS</t>
        </is>
      </c>
      <c r="H3981" s="0" t="inlineStr">
        <is>
          <t>3XL</t>
        </is>
      </c>
      <c r="I3981" s="0">
        <v>31.99</v>
      </c>
      <c r="J3981" s="0">
        <v>73</v>
      </c>
    </row>
    <row r="3982" spans="1:10" customHeight="0">
      <c r="A3982" s="0">
        <f>HYPERLINK("https://dl.dropboxusercontent.com/scl/fi/awr35nlw9d3y67yu3z5f1/mock-ia-slate-m-we-v1-02.jpg?rlkey=6pxe7yffui06xmsrzn9mtyrto&amp;dl=0","Click to download Image")</f>
      </c>
      <c r="B3982" s="0">
        <f>HYPERLINK("https://dl.dropboxusercontent.com/scl/fi/aywlrbu4eke4t65kww5ko/mens-t-shirt-size-chartsslate-cason.jpg?rlkey=hbuzy2ixnyl1k7grccvpbxho9&amp;dl=0","Click to download SizeChart")</f>
      </c>
      <c r="C3982" s="0" t="inlineStr">
        <is>
          <t>Slate Mens Short Sleeve Shirt</t>
        </is>
      </c>
      <c r="D3982" s="1">
        <v>160624</v>
      </c>
      <c r="E3982" s="0" t="inlineStr">
        <is>
          <t>IOWA SLATE M WE:160624Z-12PK</t>
        </is>
      </c>
      <c r="F3982" s="2">
        <v>800160624999</v>
      </c>
      <c r="G3982" s="0" t="inlineStr">
        <is>
          <t>MENS</t>
        </is>
      </c>
      <c r="H3982" s="0" t="inlineStr">
        <is>
          <t>12 PACK</t>
        </is>
      </c>
      <c r="I3982" s="0">
        <v>294</v>
      </c>
      <c r="J3982" s="0">
        <v>6</v>
      </c>
    </row>
    <row r="3983" spans="1:10" customHeight="0">
      <c r="A3983" s="0">
        <f>HYPERLINK("https://dl.dropboxusercontent.com/scl/fi/kl06g0np531dqwtbnxwly/s26-mockups-12.jpg?rlkey=jcrr4nzmq34hk1o4xrafew19e&amp;dl=0","Click to download Image")</f>
      </c>
      <c r="B3983" s="0">
        <f>HYPERLINK("https://dl.dropboxusercontent.com/scl/fi/aywlrbu4eke4t65kww5ko/mens-t-shirt-size-chartsslate-cason.jpg?rlkey=hbuzy2ixnyl1k7grccvpbxho9&amp;dl=0","Click to download SizeChart")</f>
      </c>
      <c r="C3983" s="0" t="inlineStr">
        <is>
          <t>Slate Mens Short Sleeve Shirt</t>
        </is>
      </c>
      <c r="D3983" s="1">
        <v>160635</v>
      </c>
      <c r="E3983" s="0" t="inlineStr">
        <is>
          <t>IOWA SLATE M BK:160635A-S</t>
        </is>
      </c>
      <c r="F3983" s="2">
        <v>800160635049</v>
      </c>
      <c r="G3983" s="0" t="inlineStr">
        <is>
          <t>MENS</t>
        </is>
      </c>
      <c r="H3983" s="0" t="inlineStr">
        <is>
          <t>S</t>
        </is>
      </c>
      <c r="I3983" s="0">
        <v>29.99</v>
      </c>
      <c r="J3983" s="0">
        <v>196</v>
      </c>
    </row>
    <row r="3984" spans="1:10" customHeight="0">
      <c r="A3984" s="0">
        <f>HYPERLINK("https://dl.dropboxusercontent.com/scl/fi/kl06g0np531dqwtbnxwly/s26-mockups-12.jpg?rlkey=jcrr4nzmq34hk1o4xrafew19e&amp;dl=0","Click to download Image")</f>
      </c>
      <c r="B3984" s="0">
        <f>HYPERLINK("https://dl.dropboxusercontent.com/scl/fi/aywlrbu4eke4t65kww5ko/mens-t-shirt-size-chartsslate-cason.jpg?rlkey=hbuzy2ixnyl1k7grccvpbxho9&amp;dl=0","Click to download SizeChart")</f>
      </c>
      <c r="C3984" s="0" t="inlineStr">
        <is>
          <t>Slate Mens Short Sleeve Shirt</t>
        </is>
      </c>
      <c r="D3984" s="1">
        <v>160635</v>
      </c>
      <c r="E3984" s="0" t="inlineStr">
        <is>
          <t>IOWA SLATE M BK:160635B-M</t>
        </is>
      </c>
      <c r="F3984" s="2">
        <v>800160635056</v>
      </c>
      <c r="G3984" s="0" t="inlineStr">
        <is>
          <t>MENS</t>
        </is>
      </c>
      <c r="H3984" s="0" t="inlineStr">
        <is>
          <t>M</t>
        </is>
      </c>
      <c r="I3984" s="0">
        <v>29.99</v>
      </c>
      <c r="J3984" s="0">
        <v>196</v>
      </c>
    </row>
    <row r="3985" spans="1:10" customHeight="0">
      <c r="A3985" s="0">
        <f>HYPERLINK("https://dl.dropboxusercontent.com/scl/fi/kl06g0np531dqwtbnxwly/s26-mockups-12.jpg?rlkey=jcrr4nzmq34hk1o4xrafew19e&amp;dl=0","Click to download Image")</f>
      </c>
      <c r="B3985" s="0">
        <f>HYPERLINK("https://dl.dropboxusercontent.com/scl/fi/aywlrbu4eke4t65kww5ko/mens-t-shirt-size-chartsslate-cason.jpg?rlkey=hbuzy2ixnyl1k7grccvpbxho9&amp;dl=0","Click to download SizeChart")</f>
      </c>
      <c r="C3985" s="0" t="inlineStr">
        <is>
          <t>Slate Mens Short Sleeve Shirt</t>
        </is>
      </c>
      <c r="D3985" s="1">
        <v>160635</v>
      </c>
      <c r="E3985" s="0" t="inlineStr">
        <is>
          <t>IOWA SLATE M BK:160635C-L</t>
        </is>
      </c>
      <c r="F3985" s="2">
        <v>800160635063</v>
      </c>
      <c r="G3985" s="0" t="inlineStr">
        <is>
          <t>MENS</t>
        </is>
      </c>
      <c r="H3985" s="0" t="inlineStr">
        <is>
          <t>L</t>
        </is>
      </c>
      <c r="I3985" s="0">
        <v>29.99</v>
      </c>
      <c r="J3985" s="0">
        <v>196</v>
      </c>
    </row>
    <row r="3986" spans="1:10" customHeight="0">
      <c r="A3986" s="0">
        <f>HYPERLINK("https://dl.dropboxusercontent.com/scl/fi/kl06g0np531dqwtbnxwly/s26-mockups-12.jpg?rlkey=jcrr4nzmq34hk1o4xrafew19e&amp;dl=0","Click to download Image")</f>
      </c>
      <c r="B3986" s="0">
        <f>HYPERLINK("https://dl.dropboxusercontent.com/scl/fi/aywlrbu4eke4t65kww5ko/mens-t-shirt-size-chartsslate-cason.jpg?rlkey=hbuzy2ixnyl1k7grccvpbxho9&amp;dl=0","Click to download SizeChart")</f>
      </c>
      <c r="C3986" s="0" t="inlineStr">
        <is>
          <t>Slate Mens Short Sleeve Shirt</t>
        </is>
      </c>
      <c r="D3986" s="1">
        <v>160635</v>
      </c>
      <c r="E3986" s="0" t="inlineStr">
        <is>
          <t>IOWA SLATE M BK:160635D-XL</t>
        </is>
      </c>
      <c r="F3986" s="2">
        <v>800160635070</v>
      </c>
      <c r="G3986" s="0" t="inlineStr">
        <is>
          <t>MENS</t>
        </is>
      </c>
      <c r="H3986" s="0" t="inlineStr">
        <is>
          <t>XL</t>
        </is>
      </c>
      <c r="I3986" s="0">
        <v>29.99</v>
      </c>
      <c r="J3986" s="0">
        <v>196</v>
      </c>
    </row>
    <row r="3987" spans="1:10" customHeight="0">
      <c r="A3987" s="0">
        <f>HYPERLINK("https://dl.dropboxusercontent.com/scl/fi/kl06g0np531dqwtbnxwly/s26-mockups-12.jpg?rlkey=jcrr4nzmq34hk1o4xrafew19e&amp;dl=0","Click to download Image")</f>
      </c>
      <c r="B3987" s="0">
        <f>HYPERLINK("https://dl.dropboxusercontent.com/scl/fi/aywlrbu4eke4t65kww5ko/mens-t-shirt-size-chartsslate-cason.jpg?rlkey=hbuzy2ixnyl1k7grccvpbxho9&amp;dl=0","Click to download SizeChart")</f>
      </c>
      <c r="C3987" s="0" t="inlineStr">
        <is>
          <t>Slate Mens Short Sleeve Shirt</t>
        </is>
      </c>
      <c r="D3987" s="1">
        <v>160635</v>
      </c>
      <c r="E3987" s="0" t="inlineStr">
        <is>
          <t>IOWA SLATE M BK:160635E-2XL</t>
        </is>
      </c>
      <c r="F3987" s="2">
        <v>800160635087</v>
      </c>
      <c r="G3987" s="0" t="inlineStr">
        <is>
          <t>MENS</t>
        </is>
      </c>
      <c r="H3987" s="0" t="inlineStr">
        <is>
          <t>2XL</t>
        </is>
      </c>
      <c r="I3987" s="0">
        <v>31.99</v>
      </c>
      <c r="J3987" s="0">
        <v>182</v>
      </c>
    </row>
    <row r="3988" spans="1:10" customHeight="0">
      <c r="A3988" s="0">
        <f>HYPERLINK("https://dl.dropboxusercontent.com/scl/fi/kl06g0np531dqwtbnxwly/s26-mockups-12.jpg?rlkey=jcrr4nzmq34hk1o4xrafew19e&amp;dl=0","Click to download Image")</f>
      </c>
      <c r="B3988" s="0">
        <f>HYPERLINK("https://dl.dropboxusercontent.com/scl/fi/aywlrbu4eke4t65kww5ko/mens-t-shirt-size-chartsslate-cason.jpg?rlkey=hbuzy2ixnyl1k7grccvpbxho9&amp;dl=0","Click to download SizeChart")</f>
      </c>
      <c r="C3988" s="0" t="inlineStr">
        <is>
          <t>Slate Mens Short Sleeve Shirt</t>
        </is>
      </c>
      <c r="D3988" s="1">
        <v>160635</v>
      </c>
      <c r="E3988" s="0" t="inlineStr">
        <is>
          <t>IOWA SLATE M BK:160635F-3XL</t>
        </is>
      </c>
      <c r="F3988" s="2">
        <v>800160635094</v>
      </c>
      <c r="G3988" s="0" t="inlineStr">
        <is>
          <t>MENS</t>
        </is>
      </c>
      <c r="H3988" s="0" t="inlineStr">
        <is>
          <t>3XL</t>
        </is>
      </c>
      <c r="I3988" s="0">
        <v>31.99</v>
      </c>
      <c r="J3988" s="0">
        <v>127</v>
      </c>
    </row>
    <row r="3989" spans="1:10" customHeight="0">
      <c r="A3989" s="0">
        <f>HYPERLINK("https://dl.dropboxusercontent.com/scl/fi/kl06g0np531dqwtbnxwly/s26-mockups-12.jpg?rlkey=jcrr4nzmq34hk1o4xrafew19e&amp;dl=0","Click to download Image")</f>
      </c>
      <c r="B3989" s="0">
        <f>HYPERLINK("https://dl.dropboxusercontent.com/scl/fi/aywlrbu4eke4t65kww5ko/mens-t-shirt-size-chartsslate-cason.jpg?rlkey=hbuzy2ixnyl1k7grccvpbxho9&amp;dl=0","Click to download SizeChart")</f>
      </c>
      <c r="C3989" s="0" t="inlineStr">
        <is>
          <t>Slate Mens Short Sleeve Shirt</t>
        </is>
      </c>
      <c r="D3989" s="1">
        <v>160635</v>
      </c>
      <c r="E3989" s="0" t="inlineStr">
        <is>
          <t>IOWA SLATE M BK:160635Z-12PK</t>
        </is>
      </c>
      <c r="F3989" s="2">
        <v>800160635995</v>
      </c>
      <c r="G3989" s="0" t="inlineStr">
        <is>
          <t>MENS</t>
        </is>
      </c>
      <c r="H3989" s="0" t="inlineStr">
        <is>
          <t>12 PACK</t>
        </is>
      </c>
      <c r="I3989" s="0">
        <v>294</v>
      </c>
      <c r="J3989" s="0">
        <v>16</v>
      </c>
    </row>
    <row r="3990" spans="1:10" customHeight="0">
      <c r="A3990" s="0">
        <f>HYPERLINK("https://dl.dropboxusercontent.com/scl/fi/97yca93q43jmlvq2f122r/slate-ss.jpg?rlkey=gkhkgx768p232uynt2qawlrql&amp;dl=0","Click to download Image")</f>
      </c>
      <c r="B3990" s="0">
        <f>HYPERLINK("https://dl.dropboxusercontent.com/scl/fi/aywlrbu4eke4t65kww5ko/mens-t-shirt-size-chartsslate-cason.jpg?rlkey=hbuzy2ixnyl1k7grccvpbxho9&amp;dl=0","Click to download SizeChart")</f>
      </c>
      <c r="C3990" s="0" t="inlineStr">
        <is>
          <t>Slate Mens Short Sleeve Shirt</t>
        </is>
      </c>
      <c r="D3990" s="1">
        <v>162368</v>
      </c>
      <c r="E3990" s="0" t="inlineStr">
        <is>
          <t>IOWA SLATE M GD:162368A-S</t>
        </is>
      </c>
      <c r="F3990" s="2">
        <v>800162368044</v>
      </c>
      <c r="G3990" s="0" t="inlineStr">
        <is>
          <t>MENS</t>
        </is>
      </c>
      <c r="H3990" s="0" t="inlineStr">
        <is>
          <t>S</t>
        </is>
      </c>
      <c r="I3990" s="0">
        <v>29.99</v>
      </c>
      <c r="J3990" s="0">
        <v>124</v>
      </c>
    </row>
    <row r="3991" spans="1:10" customHeight="0">
      <c r="A3991" s="0">
        <f>HYPERLINK("https://dl.dropboxusercontent.com/scl/fi/97yca93q43jmlvq2f122r/slate-ss.jpg?rlkey=gkhkgx768p232uynt2qawlrql&amp;dl=0","Click to download Image")</f>
      </c>
      <c r="B3991" s="0">
        <f>HYPERLINK("https://dl.dropboxusercontent.com/scl/fi/aywlrbu4eke4t65kww5ko/mens-t-shirt-size-chartsslate-cason.jpg?rlkey=hbuzy2ixnyl1k7grccvpbxho9&amp;dl=0","Click to download SizeChart")</f>
      </c>
      <c r="C3991" s="0" t="inlineStr">
        <is>
          <t>Slate Mens Short Sleeve Shirt</t>
        </is>
      </c>
      <c r="D3991" s="1">
        <v>162368</v>
      </c>
      <c r="E3991" s="0" t="inlineStr">
        <is>
          <t>IOWA SLATE M GD:162368B-M</t>
        </is>
      </c>
      <c r="F3991" s="2">
        <v>800162368051</v>
      </c>
      <c r="G3991" s="0" t="inlineStr">
        <is>
          <t>MENS</t>
        </is>
      </c>
      <c r="H3991" s="0" t="inlineStr">
        <is>
          <t>M</t>
        </is>
      </c>
      <c r="I3991" s="0">
        <v>29.99</v>
      </c>
      <c r="J3991" s="0">
        <v>124</v>
      </c>
    </row>
    <row r="3992" spans="1:10" customHeight="0">
      <c r="A3992" s="0">
        <f>HYPERLINK("https://dl.dropboxusercontent.com/scl/fi/97yca93q43jmlvq2f122r/slate-ss.jpg?rlkey=gkhkgx768p232uynt2qawlrql&amp;dl=0","Click to download Image")</f>
      </c>
      <c r="B3992" s="0">
        <f>HYPERLINK("https://dl.dropboxusercontent.com/scl/fi/aywlrbu4eke4t65kww5ko/mens-t-shirt-size-chartsslate-cason.jpg?rlkey=hbuzy2ixnyl1k7grccvpbxho9&amp;dl=0","Click to download SizeChart")</f>
      </c>
      <c r="C3992" s="0" t="inlineStr">
        <is>
          <t>Slate Mens Short Sleeve Shirt</t>
        </is>
      </c>
      <c r="D3992" s="1">
        <v>162368</v>
      </c>
      <c r="E3992" s="0" t="inlineStr">
        <is>
          <t>IOWA SLATE M GD:162368C-L</t>
        </is>
      </c>
      <c r="F3992" s="2">
        <v>800162368068</v>
      </c>
      <c r="G3992" s="0" t="inlineStr">
        <is>
          <t>MENS</t>
        </is>
      </c>
      <c r="H3992" s="0" t="inlineStr">
        <is>
          <t>L</t>
        </is>
      </c>
      <c r="I3992" s="0">
        <v>29.99</v>
      </c>
      <c r="J3992" s="0">
        <v>124</v>
      </c>
    </row>
    <row r="3993" spans="1:10" customHeight="0">
      <c r="A3993" s="0">
        <f>HYPERLINK("https://dl.dropboxusercontent.com/scl/fi/97yca93q43jmlvq2f122r/slate-ss.jpg?rlkey=gkhkgx768p232uynt2qawlrql&amp;dl=0","Click to download Image")</f>
      </c>
      <c r="B3993" s="0">
        <f>HYPERLINK("https://dl.dropboxusercontent.com/scl/fi/aywlrbu4eke4t65kww5ko/mens-t-shirt-size-chartsslate-cason.jpg?rlkey=hbuzy2ixnyl1k7grccvpbxho9&amp;dl=0","Click to download SizeChart")</f>
      </c>
      <c r="C3993" s="0" t="inlineStr">
        <is>
          <t>Slate Mens Short Sleeve Shirt</t>
        </is>
      </c>
      <c r="D3993" s="1">
        <v>162368</v>
      </c>
      <c r="E3993" s="0" t="inlineStr">
        <is>
          <t>IOWA SLATE M GD:162368D-XL</t>
        </is>
      </c>
      <c r="F3993" s="2">
        <v>800162368075</v>
      </c>
      <c r="G3993" s="0" t="inlineStr">
        <is>
          <t>MENS</t>
        </is>
      </c>
      <c r="H3993" s="0" t="inlineStr">
        <is>
          <t>XL</t>
        </is>
      </c>
      <c r="I3993" s="0">
        <v>29.99</v>
      </c>
      <c r="J3993" s="0">
        <v>124</v>
      </c>
    </row>
    <row r="3994" spans="1:10" customHeight="0">
      <c r="A3994" s="0">
        <f>HYPERLINK("https://dl.dropboxusercontent.com/scl/fi/97yca93q43jmlvq2f122r/slate-ss.jpg?rlkey=gkhkgx768p232uynt2qawlrql&amp;dl=0","Click to download Image")</f>
      </c>
      <c r="B3994" s="0">
        <f>HYPERLINK("https://dl.dropboxusercontent.com/scl/fi/aywlrbu4eke4t65kww5ko/mens-t-shirt-size-chartsslate-cason.jpg?rlkey=hbuzy2ixnyl1k7grccvpbxho9&amp;dl=0","Click to download SizeChart")</f>
      </c>
      <c r="C3994" s="0" t="inlineStr">
        <is>
          <t>Slate Mens Short Sleeve Shirt</t>
        </is>
      </c>
      <c r="D3994" s="1">
        <v>162368</v>
      </c>
      <c r="E3994" s="0" t="inlineStr">
        <is>
          <t>IOWA SLATE M GD:162368E-2XL</t>
        </is>
      </c>
      <c r="F3994" s="2">
        <v>800162368082</v>
      </c>
      <c r="G3994" s="0" t="inlineStr">
        <is>
          <t>MENS</t>
        </is>
      </c>
      <c r="H3994" s="0" t="inlineStr">
        <is>
          <t>2XL</t>
        </is>
      </c>
      <c r="I3994" s="0">
        <v>31.99</v>
      </c>
      <c r="J3994" s="0">
        <v>124</v>
      </c>
    </row>
    <row r="3995" spans="1:10" customHeight="0">
      <c r="A3995" s="0">
        <f>HYPERLINK("https://dl.dropboxusercontent.com/scl/fi/97yca93q43jmlvq2f122r/slate-ss.jpg?rlkey=gkhkgx768p232uynt2qawlrql&amp;dl=0","Click to download Image")</f>
      </c>
      <c r="B3995" s="0">
        <f>HYPERLINK("https://dl.dropboxusercontent.com/scl/fi/aywlrbu4eke4t65kww5ko/mens-t-shirt-size-chartsslate-cason.jpg?rlkey=hbuzy2ixnyl1k7grccvpbxho9&amp;dl=0","Click to download SizeChart")</f>
      </c>
      <c r="C3995" s="0" t="inlineStr">
        <is>
          <t>Slate Mens Short Sleeve Shirt</t>
        </is>
      </c>
      <c r="D3995" s="1">
        <v>162368</v>
      </c>
      <c r="E3995" s="0" t="inlineStr">
        <is>
          <t>IOWA SLATE M GD:162368F-3XL</t>
        </is>
      </c>
      <c r="F3995" s="2">
        <v>800162368099</v>
      </c>
      <c r="G3995" s="0" t="inlineStr">
        <is>
          <t>MENS</t>
        </is>
      </c>
      <c r="H3995" s="0" t="inlineStr">
        <is>
          <t>3XL</t>
        </is>
      </c>
      <c r="I3995" s="0">
        <v>31.99</v>
      </c>
      <c r="J3995" s="0">
        <v>122</v>
      </c>
    </row>
    <row r="3996" spans="1:10" customHeight="0">
      <c r="A3996" s="0">
        <f>HYPERLINK("https://dl.dropboxusercontent.com/scl/fi/975659ra25opd76dbse8a/s26-mockups-54.jpg?rlkey=gepp0stu0pzwr8fi2fbiazwqc&amp;dl=0","Click to download Image")</f>
      </c>
      <c r="B3996" s="0">
        <f>HYPERLINK("https://dl.dropboxusercontent.com/scl/fi/t35nqoxa7jmitkpaphno3/womens-short-sleeve-size-chartsslate.jpg?rlkey=kcpqpxpu1h43zl3f4nz32tcqc&amp;dl=0","Click to download SizeChart")</f>
      </c>
      <c r="C3996" s="0" t="inlineStr">
        <is>
          <t>Slate Women's Short Sleeve Shirt</t>
        </is>
      </c>
      <c r="D3996" s="1">
        <v>160757</v>
      </c>
      <c r="E3996" s="0" t="inlineStr">
        <is>
          <t>IOWA SLATE W BK:160757A-S</t>
        </is>
      </c>
      <c r="F3996" s="2">
        <v>800160757048</v>
      </c>
      <c r="G3996" s="0" t="inlineStr">
        <is>
          <t>WOMENS</t>
        </is>
      </c>
      <c r="H3996" s="0" t="inlineStr">
        <is>
          <t>S</t>
        </is>
      </c>
      <c r="I3996" s="0">
        <v>29.99</v>
      </c>
      <c r="J3996" s="0">
        <v>6</v>
      </c>
    </row>
    <row r="3997" spans="1:10" customHeight="0">
      <c r="A3997" s="0">
        <f>HYPERLINK("https://dl.dropboxusercontent.com/scl/fi/975659ra25opd76dbse8a/s26-mockups-54.jpg?rlkey=gepp0stu0pzwr8fi2fbiazwqc&amp;dl=0","Click to download Image")</f>
      </c>
      <c r="B3997" s="0">
        <f>HYPERLINK("https://dl.dropboxusercontent.com/scl/fi/t35nqoxa7jmitkpaphno3/womens-short-sleeve-size-chartsslate.jpg?rlkey=kcpqpxpu1h43zl3f4nz32tcqc&amp;dl=0","Click to download SizeChart")</f>
      </c>
      <c r="C3997" s="0" t="inlineStr">
        <is>
          <t>Slate Women's Short Sleeve Shirt</t>
        </is>
      </c>
      <c r="D3997" s="1">
        <v>160757</v>
      </c>
      <c r="E3997" s="0" t="inlineStr">
        <is>
          <t>IOWA SLATE W BK:160757B-M</t>
        </is>
      </c>
      <c r="F3997" s="2">
        <v>800160757055</v>
      </c>
      <c r="G3997" s="0" t="inlineStr">
        <is>
          <t>WOMENS</t>
        </is>
      </c>
      <c r="H3997" s="0" t="inlineStr">
        <is>
          <t>M</t>
        </is>
      </c>
      <c r="I3997" s="0">
        <v>29.99</v>
      </c>
      <c r="J3997" s="0">
        <v>23</v>
      </c>
    </row>
    <row r="3998" spans="1:10" customHeight="0">
      <c r="A3998" s="0">
        <f>HYPERLINK("https://dl.dropboxusercontent.com/scl/fi/975659ra25opd76dbse8a/s26-mockups-54.jpg?rlkey=gepp0stu0pzwr8fi2fbiazwqc&amp;dl=0","Click to download Image")</f>
      </c>
      <c r="B3998" s="0">
        <f>HYPERLINK("https://dl.dropboxusercontent.com/scl/fi/t35nqoxa7jmitkpaphno3/womens-short-sleeve-size-chartsslate.jpg?rlkey=kcpqpxpu1h43zl3f4nz32tcqc&amp;dl=0","Click to download SizeChart")</f>
      </c>
      <c r="C3998" s="0" t="inlineStr">
        <is>
          <t>Slate Women's Short Sleeve Shirt</t>
        </is>
      </c>
      <c r="D3998" s="1">
        <v>160757</v>
      </c>
      <c r="E3998" s="0" t="inlineStr">
        <is>
          <t>IOWA SLATE W BK:160757C-L</t>
        </is>
      </c>
      <c r="F3998" s="2">
        <v>800160757062</v>
      </c>
      <c r="G3998" s="0" t="inlineStr">
        <is>
          <t>WOMENS</t>
        </is>
      </c>
      <c r="H3998" s="0" t="inlineStr">
        <is>
          <t>L</t>
        </is>
      </c>
      <c r="I3998" s="0">
        <v>29.99</v>
      </c>
      <c r="J3998" s="0">
        <v>16</v>
      </c>
    </row>
    <row r="3999" spans="1:10" customHeight="0">
      <c r="A3999" s="0">
        <f>HYPERLINK("https://dl.dropboxusercontent.com/scl/fi/975659ra25opd76dbse8a/s26-mockups-54.jpg?rlkey=gepp0stu0pzwr8fi2fbiazwqc&amp;dl=0","Click to download Image")</f>
      </c>
      <c r="B3999" s="0">
        <f>HYPERLINK("https://dl.dropboxusercontent.com/scl/fi/t35nqoxa7jmitkpaphno3/womens-short-sleeve-size-chartsslate.jpg?rlkey=kcpqpxpu1h43zl3f4nz32tcqc&amp;dl=0","Click to download SizeChart")</f>
      </c>
      <c r="C3999" s="0" t="inlineStr">
        <is>
          <t>Slate Women's Short Sleeve Shirt</t>
        </is>
      </c>
      <c r="D3999" s="1">
        <v>160757</v>
      </c>
      <c r="E3999" s="0" t="inlineStr">
        <is>
          <t>IOWA SLATE W BK:160757D-XL</t>
        </is>
      </c>
      <c r="F3999" s="2">
        <v>800160757079</v>
      </c>
      <c r="G3999" s="0" t="inlineStr">
        <is>
          <t>WOMENS</t>
        </is>
      </c>
      <c r="H3999" s="0" t="inlineStr">
        <is>
          <t>XL</t>
        </is>
      </c>
      <c r="I3999" s="0">
        <v>29.99</v>
      </c>
      <c r="J3999" s="0">
        <v>7</v>
      </c>
    </row>
    <row r="4000" spans="1:10" customHeight="0">
      <c r="A4000" s="0">
        <f>HYPERLINK("https://dl.dropboxusercontent.com/scl/fi/975659ra25opd76dbse8a/s26-mockups-54.jpg?rlkey=gepp0stu0pzwr8fi2fbiazwqc&amp;dl=0","Click to download Image")</f>
      </c>
      <c r="B4000" s="0">
        <f>HYPERLINK("https://dl.dropboxusercontent.com/scl/fi/t35nqoxa7jmitkpaphno3/womens-short-sleeve-size-chartsslate.jpg?rlkey=kcpqpxpu1h43zl3f4nz32tcqc&amp;dl=0","Click to download SizeChart")</f>
      </c>
      <c r="C4000" s="0" t="inlineStr">
        <is>
          <t>Slate Women's Short Sleeve Shirt</t>
        </is>
      </c>
      <c r="D4000" s="1">
        <v>160757</v>
      </c>
      <c r="E4000" s="0" t="inlineStr">
        <is>
          <t>IOWA SLATE W BK:160757E-2XL</t>
        </is>
      </c>
      <c r="F4000" s="2">
        <v>800160757086</v>
      </c>
      <c r="G4000" s="0" t="inlineStr">
        <is>
          <t>WOMENS</t>
        </is>
      </c>
      <c r="H4000" s="0" t="inlineStr">
        <is>
          <t>2XL</t>
        </is>
      </c>
      <c r="I4000" s="0">
        <v>31.99</v>
      </c>
      <c r="J4000" s="0">
        <v>7</v>
      </c>
    </row>
    <row r="4001" spans="1:10" customHeight="0">
      <c r="A4001" s="0">
        <f>HYPERLINK("https://dl.dropboxusercontent.com/scl/fi/975659ra25opd76dbse8a/s26-mockups-54.jpg?rlkey=gepp0stu0pzwr8fi2fbiazwqc&amp;dl=0","Click to download Image")</f>
      </c>
      <c r="B4001" s="0">
        <f>HYPERLINK("https://dl.dropboxusercontent.com/scl/fi/t35nqoxa7jmitkpaphno3/womens-short-sleeve-size-chartsslate.jpg?rlkey=kcpqpxpu1h43zl3f4nz32tcqc&amp;dl=0","Click to download SizeChart")</f>
      </c>
      <c r="C4001" s="0" t="inlineStr">
        <is>
          <t>Slate Women's Short Sleeve Shirt</t>
        </is>
      </c>
      <c r="D4001" s="1">
        <v>160757</v>
      </c>
      <c r="E4001" s="0" t="inlineStr">
        <is>
          <t>IOWA SLATE W BK:160757F-3XL</t>
        </is>
      </c>
      <c r="F4001" s="2">
        <v>800160757093</v>
      </c>
      <c r="G4001" s="0" t="inlineStr">
        <is>
          <t>WOMENS</t>
        </is>
      </c>
      <c r="H4001" s="0" t="inlineStr">
        <is>
          <t>3XL</t>
        </is>
      </c>
      <c r="I4001" s="0">
        <v>31.99</v>
      </c>
      <c r="J4001" s="0">
        <v>0</v>
      </c>
    </row>
    <row r="4002" spans="1:10" customHeight="0">
      <c r="A4002" s="0">
        <f>HYPERLINK("https://dl.dropboxusercontent.com/scl/fi/975659ra25opd76dbse8a/s26-mockups-54.jpg?rlkey=gepp0stu0pzwr8fi2fbiazwqc&amp;dl=0","Click to download Image")</f>
      </c>
      <c r="B4002" s="0">
        <f>HYPERLINK("https://dl.dropboxusercontent.com/scl/fi/t35nqoxa7jmitkpaphno3/womens-short-sleeve-size-chartsslate.jpg?rlkey=kcpqpxpu1h43zl3f4nz32tcqc&amp;dl=0","Click to download SizeChart")</f>
      </c>
      <c r="C4002" s="0" t="inlineStr">
        <is>
          <t>Slate Women's Short Sleeve Shirt</t>
        </is>
      </c>
      <c r="D4002" s="1">
        <v>160757</v>
      </c>
      <c r="E4002" s="0" t="inlineStr">
        <is>
          <t>IOWA SLATE W BK:160757Z-12PK</t>
        </is>
      </c>
      <c r="F4002" s="2">
        <v>800160757994</v>
      </c>
      <c r="G4002" s="0" t="inlineStr">
        <is>
          <t>WOMENS</t>
        </is>
      </c>
      <c r="H4002" s="0" t="inlineStr">
        <is>
          <t>12 PACK</t>
        </is>
      </c>
      <c r="I4002" s="0">
        <v>288</v>
      </c>
      <c r="J4002" s="0">
        <v>3</v>
      </c>
    </row>
    <row r="4003" spans="1:10" customHeight="0">
      <c r="A4003" s="0">
        <f>HYPERLINK("https://dl.dropboxusercontent.com/scl/fi/lpoilak30slsbc1p1wlqe/s26-mockups-55.jpg?rlkey=do1yu6kpltl3gvnkmyzn04oye&amp;dl=0","Click to download Image")</f>
      </c>
      <c r="B4003" s="0">
        <f>HYPERLINK("https://dl.dropboxusercontent.com/scl/fi/t35nqoxa7jmitkpaphno3/womens-short-sleeve-size-chartsslate.jpg?rlkey=kcpqpxpu1h43zl3f4nz32tcqc&amp;dl=0","Click to download SizeChart")</f>
      </c>
      <c r="C4003" s="0" t="inlineStr">
        <is>
          <t>Slate Women's Short Sleeve Shirt</t>
        </is>
      </c>
      <c r="D4003" s="1">
        <v>160758</v>
      </c>
      <c r="E4003" s="0" t="inlineStr">
        <is>
          <t>IOWA SLATE W GD:160758A-S</t>
        </is>
      </c>
      <c r="F4003" s="2">
        <v>800160758045</v>
      </c>
      <c r="G4003" s="0" t="inlineStr">
        <is>
          <t>WOMENS</t>
        </is>
      </c>
      <c r="H4003" s="0" t="inlineStr">
        <is>
          <t>S</t>
        </is>
      </c>
      <c r="I4003" s="0">
        <v>29.99</v>
      </c>
      <c r="J4003" s="0">
        <v>22</v>
      </c>
    </row>
    <row r="4004" spans="1:10" customHeight="0">
      <c r="A4004" s="0">
        <f>HYPERLINK("https://dl.dropboxusercontent.com/scl/fi/lpoilak30slsbc1p1wlqe/s26-mockups-55.jpg?rlkey=do1yu6kpltl3gvnkmyzn04oye&amp;dl=0","Click to download Image")</f>
      </c>
      <c r="B4004" s="0">
        <f>HYPERLINK("https://dl.dropboxusercontent.com/scl/fi/t35nqoxa7jmitkpaphno3/womens-short-sleeve-size-chartsslate.jpg?rlkey=kcpqpxpu1h43zl3f4nz32tcqc&amp;dl=0","Click to download SizeChart")</f>
      </c>
      <c r="C4004" s="0" t="inlineStr">
        <is>
          <t>Slate Women's Short Sleeve Shirt</t>
        </is>
      </c>
      <c r="D4004" s="1">
        <v>160758</v>
      </c>
      <c r="E4004" s="0" t="inlineStr">
        <is>
          <t>IOWA SLATE W GD:160758B-M</t>
        </is>
      </c>
      <c r="F4004" s="2">
        <v>800160758052</v>
      </c>
      <c r="G4004" s="0" t="inlineStr">
        <is>
          <t>WOMENS</t>
        </is>
      </c>
      <c r="H4004" s="0" t="inlineStr">
        <is>
          <t>M</t>
        </is>
      </c>
      <c r="I4004" s="0">
        <v>29.99</v>
      </c>
      <c r="J4004" s="0">
        <v>44</v>
      </c>
    </row>
    <row r="4005" spans="1:10" customHeight="0">
      <c r="A4005" s="0">
        <f>HYPERLINK("https://dl.dropboxusercontent.com/scl/fi/lpoilak30slsbc1p1wlqe/s26-mockups-55.jpg?rlkey=do1yu6kpltl3gvnkmyzn04oye&amp;dl=0","Click to download Image")</f>
      </c>
      <c r="B4005" s="0">
        <f>HYPERLINK("https://dl.dropboxusercontent.com/scl/fi/t35nqoxa7jmitkpaphno3/womens-short-sleeve-size-chartsslate.jpg?rlkey=kcpqpxpu1h43zl3f4nz32tcqc&amp;dl=0","Click to download SizeChart")</f>
      </c>
      <c r="C4005" s="0" t="inlineStr">
        <is>
          <t>Slate Women's Short Sleeve Shirt</t>
        </is>
      </c>
      <c r="D4005" s="1">
        <v>160758</v>
      </c>
      <c r="E4005" s="0" t="inlineStr">
        <is>
          <t>IOWA SLATE W GD:160758C-L</t>
        </is>
      </c>
      <c r="F4005" s="2">
        <v>800160758069</v>
      </c>
      <c r="G4005" s="0" t="inlineStr">
        <is>
          <t>WOMENS</t>
        </is>
      </c>
      <c r="H4005" s="0" t="inlineStr">
        <is>
          <t>L</t>
        </is>
      </c>
      <c r="I4005" s="0">
        <v>29.99</v>
      </c>
      <c r="J4005" s="0">
        <v>44</v>
      </c>
    </row>
    <row r="4006" spans="1:10" customHeight="0">
      <c r="A4006" s="0">
        <f>HYPERLINK("https://dl.dropboxusercontent.com/scl/fi/lpoilak30slsbc1p1wlqe/s26-mockups-55.jpg?rlkey=do1yu6kpltl3gvnkmyzn04oye&amp;dl=0","Click to download Image")</f>
      </c>
      <c r="B4006" s="0">
        <f>HYPERLINK("https://dl.dropboxusercontent.com/scl/fi/t35nqoxa7jmitkpaphno3/womens-short-sleeve-size-chartsslate.jpg?rlkey=kcpqpxpu1h43zl3f4nz32tcqc&amp;dl=0","Click to download SizeChart")</f>
      </c>
      <c r="C4006" s="0" t="inlineStr">
        <is>
          <t>Slate Women's Short Sleeve Shirt</t>
        </is>
      </c>
      <c r="D4006" s="1">
        <v>160758</v>
      </c>
      <c r="E4006" s="0" t="inlineStr">
        <is>
          <t>IOWA SLATE W GD:160758D-XL</t>
        </is>
      </c>
      <c r="F4006" s="2">
        <v>800160758076</v>
      </c>
      <c r="G4006" s="0" t="inlineStr">
        <is>
          <t>WOMENS</t>
        </is>
      </c>
      <c r="H4006" s="0" t="inlineStr">
        <is>
          <t>XL</t>
        </is>
      </c>
      <c r="I4006" s="0">
        <v>29.99</v>
      </c>
      <c r="J4006" s="0">
        <v>22</v>
      </c>
    </row>
    <row r="4007" spans="1:10" customHeight="0">
      <c r="A4007" s="0">
        <f>HYPERLINK("https://dl.dropboxusercontent.com/scl/fi/lpoilak30slsbc1p1wlqe/s26-mockups-55.jpg?rlkey=do1yu6kpltl3gvnkmyzn04oye&amp;dl=0","Click to download Image")</f>
      </c>
      <c r="B4007" s="0">
        <f>HYPERLINK("https://dl.dropboxusercontent.com/scl/fi/t35nqoxa7jmitkpaphno3/womens-short-sleeve-size-chartsslate.jpg?rlkey=kcpqpxpu1h43zl3f4nz32tcqc&amp;dl=0","Click to download SizeChart")</f>
      </c>
      <c r="C4007" s="0" t="inlineStr">
        <is>
          <t>Slate Women's Short Sleeve Shirt</t>
        </is>
      </c>
      <c r="D4007" s="1">
        <v>160758</v>
      </c>
      <c r="E4007" s="0" t="inlineStr">
        <is>
          <t>IOWA SLATE W GD:160758E-2XL</t>
        </is>
      </c>
      <c r="F4007" s="2">
        <v>800160758083</v>
      </c>
      <c r="G4007" s="0" t="inlineStr">
        <is>
          <t>WOMENS</t>
        </is>
      </c>
      <c r="H4007" s="0" t="inlineStr">
        <is>
          <t>2XL</t>
        </is>
      </c>
      <c r="I4007" s="0">
        <v>31.99</v>
      </c>
      <c r="J4007" s="0">
        <v>9</v>
      </c>
    </row>
    <row r="4008" spans="1:10" customHeight="0">
      <c r="A4008" s="0">
        <f>HYPERLINK("https://dl.dropboxusercontent.com/scl/fi/lpoilak30slsbc1p1wlqe/s26-mockups-55.jpg?rlkey=do1yu6kpltl3gvnkmyzn04oye&amp;dl=0","Click to download Image")</f>
      </c>
      <c r="B4008" s="0">
        <f>HYPERLINK("https://dl.dropboxusercontent.com/scl/fi/t35nqoxa7jmitkpaphno3/womens-short-sleeve-size-chartsslate.jpg?rlkey=kcpqpxpu1h43zl3f4nz32tcqc&amp;dl=0","Click to download SizeChart")</f>
      </c>
      <c r="C4008" s="0" t="inlineStr">
        <is>
          <t>Slate Women's Short Sleeve Shirt</t>
        </is>
      </c>
      <c r="D4008" s="1">
        <v>160758</v>
      </c>
      <c r="E4008" s="0" t="inlineStr">
        <is>
          <t>IOWA SLATE W GD:160758F-3XL</t>
        </is>
      </c>
      <c r="F4008" s="2">
        <v>800160758090</v>
      </c>
      <c r="G4008" s="0" t="inlineStr">
        <is>
          <t>WOMENS</t>
        </is>
      </c>
      <c r="H4008" s="0" t="inlineStr">
        <is>
          <t>3XL</t>
        </is>
      </c>
      <c r="I4008" s="0">
        <v>31.99</v>
      </c>
      <c r="J4008" s="0">
        <v>3</v>
      </c>
    </row>
    <row r="4009" spans="1:10" customHeight="0">
      <c r="A4009" s="0">
        <f>HYPERLINK("https://dl.dropboxusercontent.com/scl/fi/lpoilak30slsbc1p1wlqe/s26-mockups-55.jpg?rlkey=do1yu6kpltl3gvnkmyzn04oye&amp;dl=0","Click to download Image")</f>
      </c>
      <c r="B4009" s="0">
        <f>HYPERLINK("https://dl.dropboxusercontent.com/scl/fi/t35nqoxa7jmitkpaphno3/womens-short-sleeve-size-chartsslate.jpg?rlkey=kcpqpxpu1h43zl3f4nz32tcqc&amp;dl=0","Click to download SizeChart")</f>
      </c>
      <c r="C4009" s="0" t="inlineStr">
        <is>
          <t>Slate Women's Short Sleeve Shirt</t>
        </is>
      </c>
      <c r="D4009" s="1">
        <v>160758</v>
      </c>
      <c r="E4009" s="0" t="inlineStr">
        <is>
          <t>IOWA SLATE W GD:160758Z-12PK</t>
        </is>
      </c>
      <c r="F4009" s="2">
        <v>800160758991</v>
      </c>
      <c r="G4009" s="0" t="inlineStr">
        <is>
          <t>WOMENS</t>
        </is>
      </c>
      <c r="H4009" s="0" t="inlineStr">
        <is>
          <t>12 PACK</t>
        </is>
      </c>
      <c r="I4009" s="0">
        <v>288</v>
      </c>
      <c r="J4009" s="0">
        <v>11</v>
      </c>
    </row>
    <row r="4010" spans="1:10" customHeight="0">
      <c r="A4010" s="0">
        <f>HYPERLINK("https://dl.dropboxusercontent.com/scl/fi/eytwnnga875n80baosut6/s26-mockups-64.jpg?rlkey=gjowimf7bjbgf89nehyo16mad&amp;dl=0","Click to download Image")</f>
      </c>
      <c r="B4010" s="0">
        <f>HYPERLINK("https://dl.dropboxusercontent.com/scl/fi/q9413z9zr63isroih4upm/womens-long-sleeve-size-chartsslate.jpg?rlkey=j0fpw2sfilfyz4fkb5odc19ta&amp;dl=0","Click to download SizeChart")</f>
      </c>
      <c r="C4010" s="0" t="inlineStr">
        <is>
          <t>Slate Women's Long Sleeve Shirt</t>
        </is>
      </c>
      <c r="D4010" s="1">
        <v>161123</v>
      </c>
      <c r="E4010" s="0" t="inlineStr">
        <is>
          <t>IOWA SLATEL W GD:161123A-S</t>
        </is>
      </c>
      <c r="F4010" s="2">
        <v>800161123040</v>
      </c>
      <c r="G4010" s="0" t="inlineStr">
        <is>
          <t>WOMENS</t>
        </is>
      </c>
      <c r="H4010" s="0" t="inlineStr">
        <is>
          <t>S</t>
        </is>
      </c>
      <c r="I4010" s="0">
        <v>32.99</v>
      </c>
      <c r="J4010" s="0">
        <v>16</v>
      </c>
    </row>
    <row r="4011" spans="1:10" customHeight="0">
      <c r="A4011" s="0">
        <f>HYPERLINK("https://dl.dropboxusercontent.com/scl/fi/eytwnnga875n80baosut6/s26-mockups-64.jpg?rlkey=gjowimf7bjbgf89nehyo16mad&amp;dl=0","Click to download Image")</f>
      </c>
      <c r="B4011" s="0">
        <f>HYPERLINK("https://dl.dropboxusercontent.com/scl/fi/q9413z9zr63isroih4upm/womens-long-sleeve-size-chartsslate.jpg?rlkey=j0fpw2sfilfyz4fkb5odc19ta&amp;dl=0","Click to download SizeChart")</f>
      </c>
      <c r="C4011" s="0" t="inlineStr">
        <is>
          <t>Slate Women's Long Sleeve Shirt</t>
        </is>
      </c>
      <c r="D4011" s="1">
        <v>161123</v>
      </c>
      <c r="E4011" s="0" t="inlineStr">
        <is>
          <t>IOWA SLATEL W GD:161123B-M</t>
        </is>
      </c>
      <c r="F4011" s="2">
        <v>800161123057</v>
      </c>
      <c r="G4011" s="0" t="inlineStr">
        <is>
          <t>WOMENS</t>
        </is>
      </c>
      <c r="H4011" s="0" t="inlineStr">
        <is>
          <t>M</t>
        </is>
      </c>
      <c r="I4011" s="0">
        <v>32.99</v>
      </c>
      <c r="J4011" s="0">
        <v>35</v>
      </c>
    </row>
    <row r="4012" spans="1:10" customHeight="0">
      <c r="A4012" s="0">
        <f>HYPERLINK("https://dl.dropboxusercontent.com/scl/fi/eytwnnga875n80baosut6/s26-mockups-64.jpg?rlkey=gjowimf7bjbgf89nehyo16mad&amp;dl=0","Click to download Image")</f>
      </c>
      <c r="B4012" s="0">
        <f>HYPERLINK("https://dl.dropboxusercontent.com/scl/fi/q9413z9zr63isroih4upm/womens-long-sleeve-size-chartsslate.jpg?rlkey=j0fpw2sfilfyz4fkb5odc19ta&amp;dl=0","Click to download SizeChart")</f>
      </c>
      <c r="C4012" s="0" t="inlineStr">
        <is>
          <t>Slate Women's Long Sleeve Shirt</t>
        </is>
      </c>
      <c r="D4012" s="1">
        <v>161123</v>
      </c>
      <c r="E4012" s="0" t="inlineStr">
        <is>
          <t>IOWA SLATEL W GD:161123C-L</t>
        </is>
      </c>
      <c r="F4012" s="2">
        <v>800161123064</v>
      </c>
      <c r="G4012" s="0" t="inlineStr">
        <is>
          <t>WOMENS</t>
        </is>
      </c>
      <c r="H4012" s="0" t="inlineStr">
        <is>
          <t>L</t>
        </is>
      </c>
      <c r="I4012" s="0">
        <v>32.99</v>
      </c>
      <c r="J4012" s="0">
        <v>35</v>
      </c>
    </row>
    <row r="4013" spans="1:10" customHeight="0">
      <c r="A4013" s="0">
        <f>HYPERLINK("https://dl.dropboxusercontent.com/scl/fi/eytwnnga875n80baosut6/s26-mockups-64.jpg?rlkey=gjowimf7bjbgf89nehyo16mad&amp;dl=0","Click to download Image")</f>
      </c>
      <c r="B4013" s="0">
        <f>HYPERLINK("https://dl.dropboxusercontent.com/scl/fi/q9413z9zr63isroih4upm/womens-long-sleeve-size-chartsslate.jpg?rlkey=j0fpw2sfilfyz4fkb5odc19ta&amp;dl=0","Click to download SizeChart")</f>
      </c>
      <c r="C4013" s="0" t="inlineStr">
        <is>
          <t>Slate Women's Long Sleeve Shirt</t>
        </is>
      </c>
      <c r="D4013" s="1">
        <v>161123</v>
      </c>
      <c r="E4013" s="0" t="inlineStr">
        <is>
          <t>IOWA SLATEL W GD:161123D-XL</t>
        </is>
      </c>
      <c r="F4013" s="2">
        <v>800161123071</v>
      </c>
      <c r="G4013" s="0" t="inlineStr">
        <is>
          <t>WOMENS</t>
        </is>
      </c>
      <c r="H4013" s="0" t="inlineStr">
        <is>
          <t>XL</t>
        </is>
      </c>
      <c r="I4013" s="0">
        <v>32.99</v>
      </c>
      <c r="J4013" s="0">
        <v>17</v>
      </c>
    </row>
    <row r="4014" spans="1:10" customHeight="0">
      <c r="A4014" s="0">
        <f>HYPERLINK("https://dl.dropboxusercontent.com/scl/fi/eytwnnga875n80baosut6/s26-mockups-64.jpg?rlkey=gjowimf7bjbgf89nehyo16mad&amp;dl=0","Click to download Image")</f>
      </c>
      <c r="B4014" s="0">
        <f>HYPERLINK("https://dl.dropboxusercontent.com/scl/fi/q9413z9zr63isroih4upm/womens-long-sleeve-size-chartsslate.jpg?rlkey=j0fpw2sfilfyz4fkb5odc19ta&amp;dl=0","Click to download SizeChart")</f>
      </c>
      <c r="C4014" s="0" t="inlineStr">
        <is>
          <t>Slate Women's Long Sleeve Shirt</t>
        </is>
      </c>
      <c r="D4014" s="1">
        <v>161123</v>
      </c>
      <c r="E4014" s="0" t="inlineStr">
        <is>
          <t>IOWA SLATEL W GD:161123E-2XL</t>
        </is>
      </c>
      <c r="F4014" s="2">
        <v>800161123088</v>
      </c>
      <c r="G4014" s="0" t="inlineStr">
        <is>
          <t>WOMENS</t>
        </is>
      </c>
      <c r="H4014" s="0" t="inlineStr">
        <is>
          <t>2XL</t>
        </is>
      </c>
      <c r="I4014" s="0">
        <v>34.99</v>
      </c>
      <c r="J4014" s="0">
        <v>8</v>
      </c>
    </row>
    <row r="4015" spans="1:10" customHeight="0">
      <c r="A4015" s="0">
        <f>HYPERLINK("https://dl.dropboxusercontent.com/scl/fi/eytwnnga875n80baosut6/s26-mockups-64.jpg?rlkey=gjowimf7bjbgf89nehyo16mad&amp;dl=0","Click to download Image")</f>
      </c>
      <c r="B4015" s="0">
        <f>HYPERLINK("https://dl.dropboxusercontent.com/scl/fi/q9413z9zr63isroih4upm/womens-long-sleeve-size-chartsslate.jpg?rlkey=j0fpw2sfilfyz4fkb5odc19ta&amp;dl=0","Click to download SizeChart")</f>
      </c>
      <c r="C4015" s="0" t="inlineStr">
        <is>
          <t>Slate Women's Long Sleeve Shirt</t>
        </is>
      </c>
      <c r="D4015" s="1">
        <v>161123</v>
      </c>
      <c r="E4015" s="0" t="inlineStr">
        <is>
          <t>IOWA SLATEL W GD:161123F-3XL</t>
        </is>
      </c>
      <c r="F4015" s="2">
        <v>800161123095</v>
      </c>
      <c r="G4015" s="0" t="inlineStr">
        <is>
          <t>WOMENS</t>
        </is>
      </c>
      <c r="H4015" s="0" t="inlineStr">
        <is>
          <t>3XL</t>
        </is>
      </c>
      <c r="I4015" s="0">
        <v>34.99</v>
      </c>
      <c r="J4015" s="0">
        <v>3</v>
      </c>
    </row>
    <row r="4016" spans="1:10" customHeight="0">
      <c r="A4016" s="0">
        <f>HYPERLINK("https://dl.dropboxusercontent.com/scl/fi/eytwnnga875n80baosut6/s26-mockups-64.jpg?rlkey=gjowimf7bjbgf89nehyo16mad&amp;dl=0","Click to download Image")</f>
      </c>
      <c r="B4016" s="0">
        <f>HYPERLINK("https://dl.dropboxusercontent.com/scl/fi/q9413z9zr63isroih4upm/womens-long-sleeve-size-chartsslate.jpg?rlkey=j0fpw2sfilfyz4fkb5odc19ta&amp;dl=0","Click to download SizeChart")</f>
      </c>
      <c r="C4016" s="0" t="inlineStr">
        <is>
          <t>Slate Women's Long Sleeve Shirt</t>
        </is>
      </c>
      <c r="D4016" s="1">
        <v>161123</v>
      </c>
      <c r="E4016" s="0" t="inlineStr">
        <is>
          <t>IOWA SLATEL W GD:161123Z-12PK</t>
        </is>
      </c>
      <c r="F4016" s="2">
        <v>800161123996</v>
      </c>
      <c r="G4016" s="0" t="inlineStr">
        <is>
          <t>WOMENS</t>
        </is>
      </c>
      <c r="H4016" s="0" t="inlineStr">
        <is>
          <t>12 PACK</t>
        </is>
      </c>
      <c r="I4016" s="0">
        <v>316.8</v>
      </c>
      <c r="J4016" s="0">
        <v>6</v>
      </c>
    </row>
    <row r="4017" spans="1:10" customHeight="0">
      <c r="A4017" s="0">
        <f>HYPERLINK("https://dl.dropboxusercontent.com/scl/fi/wgi994og2lekrlw4hjuf7/161097-t.jpg?rlkey=37ujkl5cn85urs331z927e918&amp;dl=0","Click to download Image")</f>
      </c>
      <c r="C4017" s="0" t="inlineStr">
        <is>
          <t>Seattle Adult Beanie</t>
        </is>
      </c>
      <c r="D4017" s="1">
        <v>161091</v>
      </c>
      <c r="E4017" s="0" t="inlineStr">
        <is>
          <t>IOWA SEATTLE BK:161091</t>
        </is>
      </c>
      <c r="F4017" s="2">
        <v>700161091014</v>
      </c>
      <c r="G4017" s="0" t="inlineStr">
        <is>
          <t>MENS</t>
        </is>
      </c>
      <c r="H4017" s="0" t="inlineStr">
        <is>
          <t>ADULT</t>
        </is>
      </c>
      <c r="I4017" s="0">
        <v>24.99</v>
      </c>
      <c r="J4017" s="0">
        <v>37</v>
      </c>
    </row>
    <row r="4018" spans="1:10" customHeight="0">
      <c r="A4018" s="0">
        <f>HYPERLINK("https://dl.dropboxusercontent.com/scl/fi/owgcau129buhv8i46190i/161097-t.jpg?rlkey=yhfjhxddp0moxbaopmwwqipe7&amp;dl=0","Click to download Image")</f>
      </c>
      <c r="C4018" s="0" t="inlineStr">
        <is>
          <t>Felton Adult Ribbed Beanie</t>
        </is>
      </c>
      <c r="D4018" s="1">
        <v>161097</v>
      </c>
      <c r="E4018" s="0" t="inlineStr">
        <is>
          <t>IOWA FELTON A HG:161097</t>
        </is>
      </c>
      <c r="F4018" s="2">
        <v>700161097016</v>
      </c>
      <c r="G4018" s="0" t="inlineStr">
        <is>
          <t>MENS</t>
        </is>
      </c>
      <c r="H4018" s="0" t="inlineStr">
        <is>
          <t>ADULT</t>
        </is>
      </c>
      <c r="I4018" s="0">
        <v>19.99</v>
      </c>
      <c r="J4018" s="0">
        <v>32</v>
      </c>
    </row>
    <row r="4019" spans="1:10" customHeight="0">
      <c r="A4019" s="0">
        <f>HYPERLINK("https://dl.dropboxusercontent.com/scl/fi/rs8fatwd3xaxg4dp3jfp5/161088-ridgely-f.jpg?rlkey=wvagoxdg8r0iyhzcl9sf0kxg5&amp;dl=0","Click to download Image")</f>
      </c>
      <c r="C4019" s="0" t="inlineStr">
        <is>
          <t>Ridgely Adult Tall Cuff Beanie</t>
        </is>
      </c>
      <c r="D4019" s="1">
        <v>161088</v>
      </c>
      <c r="E4019" s="0" t="inlineStr">
        <is>
          <t>IOWA RIDGELY A BK:161088</t>
        </is>
      </c>
      <c r="F4019" s="2">
        <v>700161088014</v>
      </c>
      <c r="G4019" s="0" t="inlineStr">
        <is>
          <t>WOMENS</t>
        </is>
      </c>
      <c r="H4019" s="0" t="inlineStr">
        <is>
          <t>ADULT</t>
        </is>
      </c>
      <c r="I4019" s="0">
        <v>29.99</v>
      </c>
      <c r="J4019" s="0">
        <v>34</v>
      </c>
    </row>
    <row r="4020" spans="1:10" customHeight="0">
      <c r="A4020" s="0">
        <f>HYPERLINK("https://dl.dropboxusercontent.com/scl/fi/zn0f0r27gnlyulmb6lcnj/161096-prudence-t.jpg?rlkey=0ua5uquw3i9ey1uwho7vf5yz2&amp;dl=0","Click to download Image")</f>
      </c>
      <c r="C4020" s="0" t="inlineStr">
        <is>
          <t>Prudence Women's Fur Pom Beanie</t>
        </is>
      </c>
      <c r="D4020" s="1">
        <v>161096</v>
      </c>
      <c r="E4020" s="0" t="inlineStr">
        <is>
          <t>IOWA PRUDENCE A BK:161096</t>
        </is>
      </c>
      <c r="F4020" s="2">
        <v>700161096019</v>
      </c>
      <c r="G4020" s="0" t="inlineStr">
        <is>
          <t>WOMENS</t>
        </is>
      </c>
      <c r="H4020" s="0" t="inlineStr">
        <is>
          <t>ADULT</t>
        </is>
      </c>
      <c r="I4020" s="0">
        <v>24.99</v>
      </c>
      <c r="J4020" s="0">
        <v>38</v>
      </c>
    </row>
    <row r="4021" spans="1:10" customHeight="0">
      <c r="A4021" s="0">
        <f>HYPERLINK("https://dl.dropboxusercontent.com/scl/fi/j8wu88ovwu8mcv8dev5yd/ab-hawkeye-iowa-logo-cap-t.jpg?rlkey=d50m6rshi9ylqn8l6xy6f85as&amp;dl=0","Click to download Image")</f>
      </c>
      <c r="C4021" s="0" t="inlineStr">
        <is>
          <t>Manning Men's Cap</t>
        </is>
      </c>
      <c r="D4021" s="1">
        <v>161095</v>
      </c>
      <c r="E4021" s="0" t="inlineStr">
        <is>
          <t>IOWA MANNING M BK:161095</t>
        </is>
      </c>
      <c r="F4021" s="2">
        <v>700161095005</v>
      </c>
      <c r="G4021" s="0" t="inlineStr">
        <is>
          <t>MENS</t>
        </is>
      </c>
      <c r="H4021" s="0" t="inlineStr">
        <is>
          <t>STANDARD MENS</t>
        </is>
      </c>
      <c r="I4021" s="0">
        <v>24.99</v>
      </c>
      <c r="J4021" s="0">
        <v>4</v>
      </c>
    </row>
    <row r="4022" spans="1:10" customHeight="0">
      <c r="A4022" s="0">
        <f>HYPERLINK("https://dl.dropboxusercontent.com/scl/fi/wnwjia5rglukti97an47i/ab-hawkeyes-mascot-logo-cap-t.jpg?rlkey=x1i1onp2q0wasx0g1rgcc4vpc&amp;dl=0","Click to download Image")</f>
      </c>
      <c r="C4022" s="0" t="inlineStr">
        <is>
          <t>Maddox Men's Cap</t>
        </is>
      </c>
      <c r="D4022" s="1">
        <v>161094</v>
      </c>
      <c r="E4022" s="0" t="inlineStr">
        <is>
          <t>IOWA MADDOX M BK:161094</t>
        </is>
      </c>
      <c r="F4022" s="2">
        <v>700161094008</v>
      </c>
      <c r="G4022" s="0" t="inlineStr">
        <is>
          <t>MENS</t>
        </is>
      </c>
      <c r="H4022" s="0" t="inlineStr">
        <is>
          <t>STANDARD MENS</t>
        </is>
      </c>
      <c r="I4022" s="0">
        <v>29.99</v>
      </c>
      <c r="J4022" s="0">
        <v>71</v>
      </c>
    </row>
    <row r="4023" spans="1:10" customHeight="0">
      <c r="A4023" s="0">
        <f>HYPERLINK("https://dl.dropboxusercontent.com/scl/fi/v2wlhfvrfzbabyg8ahx38/161507-fleet-t.jpg?rlkey=enyvanb1e3rct8qcmmla1486x&amp;dl=0","Click to download Image")</f>
      </c>
      <c r="C4023" s="0" t="inlineStr">
        <is>
          <t>Fleet Men's Polo</t>
        </is>
      </c>
      <c r="D4023" s="1">
        <v>161507</v>
      </c>
      <c r="E4023" s="0" t="inlineStr">
        <is>
          <t>IOWA FLEET M WE:161507A-S</t>
        </is>
      </c>
      <c r="F4023" s="2">
        <v>800161507048</v>
      </c>
      <c r="G4023" s="0" t="inlineStr">
        <is>
          <t>MENS</t>
        </is>
      </c>
      <c r="H4023" s="0" t="inlineStr">
        <is>
          <t>S</t>
        </is>
      </c>
      <c r="I4023" s="0">
        <v>59.99</v>
      </c>
      <c r="J4023" s="0">
        <v>4</v>
      </c>
    </row>
    <row r="4024" spans="1:10" customHeight="0">
      <c r="A4024" s="0">
        <f>HYPERLINK("https://dl.dropboxusercontent.com/scl/fi/v2wlhfvrfzbabyg8ahx38/161507-fleet-t.jpg?rlkey=enyvanb1e3rct8qcmmla1486x&amp;dl=0","Click to download Image")</f>
      </c>
      <c r="C4024" s="0" t="inlineStr">
        <is>
          <t>Fleet Men's Polo</t>
        </is>
      </c>
      <c r="D4024" s="1">
        <v>161507</v>
      </c>
      <c r="E4024" s="0" t="inlineStr">
        <is>
          <t>IOWA FLEET M WE:161507B-M</t>
        </is>
      </c>
      <c r="F4024" s="2">
        <v>800161507055</v>
      </c>
      <c r="G4024" s="0" t="inlineStr">
        <is>
          <t>MENS</t>
        </is>
      </c>
      <c r="H4024" s="0" t="inlineStr">
        <is>
          <t>M</t>
        </is>
      </c>
      <c r="I4024" s="0">
        <v>59.99</v>
      </c>
      <c r="J4024" s="0">
        <v>5</v>
      </c>
    </row>
    <row r="4025" spans="1:10" customHeight="0">
      <c r="A4025" s="0">
        <f>HYPERLINK("https://dl.dropboxusercontent.com/scl/fi/v2wlhfvrfzbabyg8ahx38/161507-fleet-t.jpg?rlkey=enyvanb1e3rct8qcmmla1486x&amp;dl=0","Click to download Image")</f>
      </c>
      <c r="C4025" s="0" t="inlineStr">
        <is>
          <t>Fleet Men's Polo</t>
        </is>
      </c>
      <c r="D4025" s="1">
        <v>161507</v>
      </c>
      <c r="E4025" s="0" t="inlineStr">
        <is>
          <t>IOWA FLEET M WE:161507C-L</t>
        </is>
      </c>
      <c r="F4025" s="2">
        <v>800161507062</v>
      </c>
      <c r="G4025" s="0" t="inlineStr">
        <is>
          <t>MENS</t>
        </is>
      </c>
      <c r="H4025" s="0" t="inlineStr">
        <is>
          <t>L</t>
        </is>
      </c>
      <c r="I4025" s="0">
        <v>59.99</v>
      </c>
      <c r="J4025" s="0">
        <v>7</v>
      </c>
    </row>
    <row r="4026" spans="1:10" customHeight="0">
      <c r="A4026" s="0">
        <f>HYPERLINK("https://dl.dropboxusercontent.com/scl/fi/v2wlhfvrfzbabyg8ahx38/161507-fleet-t.jpg?rlkey=enyvanb1e3rct8qcmmla1486x&amp;dl=0","Click to download Image")</f>
      </c>
      <c r="C4026" s="0" t="inlineStr">
        <is>
          <t>Fleet Men's Polo</t>
        </is>
      </c>
      <c r="D4026" s="1">
        <v>161507</v>
      </c>
      <c r="E4026" s="0" t="inlineStr">
        <is>
          <t>IOWA FLEET M WE:161507D-XL</t>
        </is>
      </c>
      <c r="F4026" s="2">
        <v>800161507079</v>
      </c>
      <c r="G4026" s="0" t="inlineStr">
        <is>
          <t>MENS</t>
        </is>
      </c>
      <c r="H4026" s="0" t="inlineStr">
        <is>
          <t>XL</t>
        </is>
      </c>
      <c r="I4026" s="0">
        <v>59.99</v>
      </c>
      <c r="J4026" s="0">
        <v>8</v>
      </c>
    </row>
    <row r="4027" spans="1:10" customHeight="0">
      <c r="A4027" s="0">
        <f>HYPERLINK("https://dl.dropboxusercontent.com/scl/fi/v2wlhfvrfzbabyg8ahx38/161507-fleet-t.jpg?rlkey=enyvanb1e3rct8qcmmla1486x&amp;dl=0","Click to download Image")</f>
      </c>
      <c r="C4027" s="0" t="inlineStr">
        <is>
          <t>Fleet Men's Polo</t>
        </is>
      </c>
      <c r="D4027" s="1">
        <v>161507</v>
      </c>
      <c r="E4027" s="0" t="inlineStr">
        <is>
          <t>IOWA FLEET M WE:161507E-2XL</t>
        </is>
      </c>
      <c r="F4027" s="2">
        <v>800161507086</v>
      </c>
      <c r="G4027" s="0" t="inlineStr">
        <is>
          <t>MENS</t>
        </is>
      </c>
      <c r="H4027" s="0" t="inlineStr">
        <is>
          <t>2XL</t>
        </is>
      </c>
      <c r="I4027" s="0">
        <v>61.99</v>
      </c>
      <c r="J4027" s="0">
        <v>4</v>
      </c>
    </row>
    <row r="4028" spans="1:10" customHeight="0">
      <c r="A4028" s="0">
        <f>HYPERLINK("https://dl.dropboxusercontent.com/scl/fi/v2wlhfvrfzbabyg8ahx38/161507-fleet-t.jpg?rlkey=enyvanb1e3rct8qcmmla1486x&amp;dl=0","Click to download Image")</f>
      </c>
      <c r="C4028" s="0" t="inlineStr">
        <is>
          <t>Fleet Men's Polo</t>
        </is>
      </c>
      <c r="D4028" s="1">
        <v>161507</v>
      </c>
      <c r="E4028" s="0" t="inlineStr">
        <is>
          <t>IOWA FLEET M WE:161507F-3XL</t>
        </is>
      </c>
      <c r="F4028" s="2">
        <v>800161507093</v>
      </c>
      <c r="G4028" s="0" t="inlineStr">
        <is>
          <t>MENS</t>
        </is>
      </c>
      <c r="H4028" s="0" t="inlineStr">
        <is>
          <t>3XL</t>
        </is>
      </c>
      <c r="I4028" s="0">
        <v>61.99</v>
      </c>
      <c r="J4028" s="0">
        <v>2</v>
      </c>
    </row>
    <row r="4029" spans="1:10" customHeight="0">
      <c r="A4029" s="0">
        <f>HYPERLINK("https://dl.dropboxusercontent.com/scl/fi/v2wlhfvrfzbabyg8ahx38/161507-fleet-t.jpg?rlkey=enyvanb1e3rct8qcmmla1486x&amp;dl=0","Click to download Image")</f>
      </c>
      <c r="C4029" s="0" t="inlineStr">
        <is>
          <t>Fleet Men's Polo</t>
        </is>
      </c>
      <c r="D4029" s="1">
        <v>161507</v>
      </c>
      <c r="E4029" s="0" t="inlineStr">
        <is>
          <t>IOWA FLEET M WE:161507Z-12PK</t>
        </is>
      </c>
      <c r="F4029" s="2">
        <v>800161507994</v>
      </c>
      <c r="G4029" s="0" t="inlineStr">
        <is>
          <t>MENS</t>
        </is>
      </c>
      <c r="H4029" s="0" t="inlineStr">
        <is>
          <t>12 PACK</t>
        </is>
      </c>
      <c r="I4029" s="0">
        <v>582</v>
      </c>
      <c r="J4029" s="0">
        <v>0</v>
      </c>
    </row>
    <row r="4030" spans="1:10" customHeight="0">
      <c r="A4030" s="0">
        <f>HYPERLINK("https://dl.dropboxusercontent.com/scl/fi/8ezj4678bodn8tralbkcb/victoryf-copy.jpg?rlkey=uh5lphydg6fof6ufjxedi2n4b&amp;dl=0","Click to download Image")</f>
      </c>
      <c r="C4030" s="0" t="inlineStr">
        <is>
          <t>Victory Men's Varsity Bomber Jacket</t>
        </is>
      </c>
      <c r="D4030" s="1">
        <v>161589</v>
      </c>
      <c r="E4030" s="0" t="inlineStr">
        <is>
          <t>IOWA VICTOR M BK:161589A-S</t>
        </is>
      </c>
      <c r="F4030" s="2">
        <v>800161589044</v>
      </c>
      <c r="G4030" s="0" t="inlineStr">
        <is>
          <t>MENS</t>
        </is>
      </c>
      <c r="H4030" s="0" t="inlineStr">
        <is>
          <t>S</t>
        </is>
      </c>
      <c r="I4030" s="0">
        <v>199.99</v>
      </c>
      <c r="J4030" s="0">
        <v>7</v>
      </c>
    </row>
    <row r="4031" spans="1:10" customHeight="0">
      <c r="A4031" s="0">
        <f>HYPERLINK("https://dl.dropboxusercontent.com/scl/fi/8ezj4678bodn8tralbkcb/victoryf-copy.jpg?rlkey=uh5lphydg6fof6ufjxedi2n4b&amp;dl=0","Click to download Image")</f>
      </c>
      <c r="C4031" s="0" t="inlineStr">
        <is>
          <t>Victory Men's Varsity Bomber Jacket</t>
        </is>
      </c>
      <c r="D4031" s="1">
        <v>161589</v>
      </c>
      <c r="E4031" s="0" t="inlineStr">
        <is>
          <t>IOWA VICTOR M BK:161589B-M</t>
        </is>
      </c>
      <c r="F4031" s="2">
        <v>800161589051</v>
      </c>
      <c r="G4031" s="0" t="inlineStr">
        <is>
          <t>MENS</t>
        </is>
      </c>
      <c r="H4031" s="0" t="inlineStr">
        <is>
          <t>M</t>
        </is>
      </c>
      <c r="I4031" s="0">
        <v>199.99</v>
      </c>
      <c r="J4031" s="0">
        <v>15</v>
      </c>
    </row>
    <row r="4032" spans="1:10" customHeight="0">
      <c r="A4032" s="0">
        <f>HYPERLINK("https://dl.dropboxusercontent.com/scl/fi/8ezj4678bodn8tralbkcb/victoryf-copy.jpg?rlkey=uh5lphydg6fof6ufjxedi2n4b&amp;dl=0","Click to download Image")</f>
      </c>
      <c r="C4032" s="0" t="inlineStr">
        <is>
          <t>Victory Men's Varsity Bomber Jacket</t>
        </is>
      </c>
      <c r="D4032" s="1">
        <v>161589</v>
      </c>
      <c r="E4032" s="0" t="inlineStr">
        <is>
          <t>IOWA VICTOR M BK:161589C-L</t>
        </is>
      </c>
      <c r="F4032" s="2">
        <v>800161589068</v>
      </c>
      <c r="G4032" s="0" t="inlineStr">
        <is>
          <t>MENS</t>
        </is>
      </c>
      <c r="H4032" s="0" t="inlineStr">
        <is>
          <t>L</t>
        </is>
      </c>
      <c r="I4032" s="0">
        <v>199.99</v>
      </c>
      <c r="J4032" s="0">
        <v>22</v>
      </c>
    </row>
    <row r="4033" spans="1:10" customHeight="0">
      <c r="A4033" s="0">
        <f>HYPERLINK("https://dl.dropboxusercontent.com/scl/fi/8ezj4678bodn8tralbkcb/victoryf-copy.jpg?rlkey=uh5lphydg6fof6ufjxedi2n4b&amp;dl=0","Click to download Image")</f>
      </c>
      <c r="C4033" s="0" t="inlineStr">
        <is>
          <t>Victory Men's Varsity Bomber Jacket</t>
        </is>
      </c>
      <c r="D4033" s="1">
        <v>161589</v>
      </c>
      <c r="E4033" s="0" t="inlineStr">
        <is>
          <t>IOWA VICTOR M BK:161589D-XL</t>
        </is>
      </c>
      <c r="F4033" s="2">
        <v>800161589075</v>
      </c>
      <c r="G4033" s="0" t="inlineStr">
        <is>
          <t>MENS</t>
        </is>
      </c>
      <c r="H4033" s="0" t="inlineStr">
        <is>
          <t>XL</t>
        </is>
      </c>
      <c r="I4033" s="0">
        <v>199.99</v>
      </c>
      <c r="J4033" s="0">
        <v>23</v>
      </c>
    </row>
    <row r="4034" spans="1:10" customHeight="0">
      <c r="A4034" s="0">
        <f>HYPERLINK("https://dl.dropboxusercontent.com/scl/fi/8ezj4678bodn8tralbkcb/victoryf-copy.jpg?rlkey=uh5lphydg6fof6ufjxedi2n4b&amp;dl=0","Click to download Image")</f>
      </c>
      <c r="C4034" s="0" t="inlineStr">
        <is>
          <t>Victory Men's Varsity Bomber Jacket</t>
        </is>
      </c>
      <c r="D4034" s="1">
        <v>161589</v>
      </c>
      <c r="E4034" s="0" t="inlineStr">
        <is>
          <t>IOWA VICTOR M BK:161589E-2XL</t>
        </is>
      </c>
      <c r="F4034" s="2">
        <v>800161589082</v>
      </c>
      <c r="G4034" s="0" t="inlineStr">
        <is>
          <t>MENS</t>
        </is>
      </c>
      <c r="H4034" s="0" t="inlineStr">
        <is>
          <t>2XL</t>
        </is>
      </c>
      <c r="I4034" s="0">
        <v>201.99</v>
      </c>
      <c r="J4034" s="0">
        <v>13</v>
      </c>
    </row>
    <row r="4035" spans="1:10" customHeight="0">
      <c r="A4035" s="0">
        <f>HYPERLINK("https://dl.dropboxusercontent.com/scl/fi/8ezj4678bodn8tralbkcb/victoryf-copy.jpg?rlkey=uh5lphydg6fof6ufjxedi2n4b&amp;dl=0","Click to download Image")</f>
      </c>
      <c r="C4035" s="0" t="inlineStr">
        <is>
          <t>Victory Men's Varsity Bomber Jacket</t>
        </is>
      </c>
      <c r="D4035" s="1">
        <v>161589</v>
      </c>
      <c r="E4035" s="0" t="inlineStr">
        <is>
          <t>IOWA VICTOR M BK:161589F-3XL</t>
        </is>
      </c>
      <c r="F4035" s="2">
        <v>800161589099</v>
      </c>
      <c r="G4035" s="0" t="inlineStr">
        <is>
          <t>MENS</t>
        </is>
      </c>
      <c r="H4035" s="0" t="inlineStr">
        <is>
          <t>3XL</t>
        </is>
      </c>
      <c r="I4035" s="0">
        <v>201.99</v>
      </c>
      <c r="J4035" s="0">
        <v>4</v>
      </c>
    </row>
    <row r="4036" spans="1:10" customHeight="0">
      <c r="A4036" s="0">
        <f>HYPERLINK("https://dl.dropboxusercontent.com/scl/fi/8ezj4678bodn8tralbkcb/victoryf-copy.jpg?rlkey=uh5lphydg6fof6ufjxedi2n4b&amp;dl=0","Click to download Image")</f>
      </c>
      <c r="C4036" s="0" t="inlineStr">
        <is>
          <t>Victory Men's Varsity Bomber Jacket</t>
        </is>
      </c>
      <c r="D4036" s="1">
        <v>161589</v>
      </c>
      <c r="E4036" s="0" t="inlineStr">
        <is>
          <t>IOWA VICTOR M BK:161589Z-12PK</t>
        </is>
      </c>
      <c r="F4036" s="2">
        <v>800161589990</v>
      </c>
      <c r="G4036" s="0" t="inlineStr">
        <is>
          <t>MENS</t>
        </is>
      </c>
      <c r="H4036" s="0" t="inlineStr">
        <is>
          <t>12 PACK</t>
        </is>
      </c>
      <c r="I4036" s="0">
        <v>1926</v>
      </c>
      <c r="J4036" s="0">
        <v>0</v>
      </c>
    </row>
    <row r="4037" spans="1:10" customHeight="0">
      <c r="A4037" s="0">
        <f>HYPERLINK("https://dl.dropboxusercontent.com/scl/fi/8ezj4678bodn8tralbkcb/victoryf-copy.jpg?rlkey=uh5lphydg6fof6ufjxedi2n4b&amp;dl=0","Click to download Image")</f>
      </c>
      <c r="C4037" s="0" t="inlineStr">
        <is>
          <t>Victory Men's Varsity Bomber Jacket</t>
        </is>
      </c>
      <c r="D4037" s="1">
        <v>161589</v>
      </c>
      <c r="E4037" s="0" t="inlineStr">
        <is>
          <t>IOWA VICTOR M BK:161589AA-XS</t>
        </is>
      </c>
      <c r="F4037" s="2">
        <v>800161589037</v>
      </c>
      <c r="G4037" s="0" t="inlineStr">
        <is>
          <t>MENS</t>
        </is>
      </c>
      <c r="H4037" s="0" t="inlineStr">
        <is>
          <t>XS</t>
        </is>
      </c>
      <c r="I4037" s="0">
        <v>199.99</v>
      </c>
      <c r="J4037" s="0">
        <v>5</v>
      </c>
    </row>
    <row r="4038" spans="1:10" customHeight="0">
      <c r="A4038" s="0">
        <f>HYPERLINK("https://dl.dropboxusercontent.com/scl/fi/9z4r04qxx4smj6yoq2ybu/161603-iowa-sideline-2.0-t.jpg?rlkey=ii0g6j2d66hag0cu9b627pwod&amp;dl=0","Click to download Image")</f>
      </c>
      <c r="C4038" s="0" t="inlineStr">
        <is>
          <t>Sideline 2.0 Fanny Pack - Stadium Approved</t>
        </is>
      </c>
      <c r="D4038" s="1">
        <v>161603</v>
      </c>
      <c r="E4038" s="0" t="inlineStr">
        <is>
          <t>IOWA SIDELI BK:161603</t>
        </is>
      </c>
      <c r="F4038" s="2">
        <v>900161603013</v>
      </c>
      <c r="H4038" s="0" t="inlineStr">
        <is>
          <t>ONE SIZE</t>
        </is>
      </c>
      <c r="I4038" s="0">
        <v>29.99</v>
      </c>
      <c r="J4038" s="0">
        <v>125</v>
      </c>
    </row>
    <row r="4039" spans="1:10" customHeight="0">
      <c r="A4039" s="0">
        <f>HYPERLINK("https://dl.dropboxusercontent.com/scl/fi/oue5f69l6iakn5rml1w30/iowa-rachelle.jpg?rlkey=a2exgn2x06g9zhkr4td844xml&amp;dl=0","Click to download Image")</f>
      </c>
      <c r="C4039" s="0" t="inlineStr">
        <is>
          <t>Rachelle Clear Tote - Stadium Approved</t>
        </is>
      </c>
      <c r="D4039" s="1">
        <v>161605</v>
      </c>
      <c r="E4039" s="0" t="inlineStr">
        <is>
          <t>IOWA RACHEL BK:161605</t>
        </is>
      </c>
      <c r="F4039" s="2">
        <v>900161605017</v>
      </c>
      <c r="H4039" s="0" t="inlineStr">
        <is>
          <t>ONE SIZE</t>
        </is>
      </c>
      <c r="I4039" s="0">
        <v>29.99</v>
      </c>
      <c r="J4039" s="0">
        <v>148</v>
      </c>
    </row>
    <row r="4040" spans="1:10" customHeight="0">
      <c r="A4040" s="0">
        <f>HYPERLINK("https://dl.dropboxusercontent.com/scl/fi/05fl1rr6ir6rhipczuf48/161607-iowa-rachelle-2-t.jpg?rlkey=ov9r3h7ziazwknex8h46xtm9m&amp;dl=0","Click to download Image")</f>
      </c>
      <c r="C4040" s="0" t="inlineStr">
        <is>
          <t>Rachelle 2.0 Clear Tote - Stadium Approved</t>
        </is>
      </c>
      <c r="D4040" s="1">
        <v>161607</v>
      </c>
      <c r="E4040" s="0" t="inlineStr">
        <is>
          <t>IOWA RACHEL BK:161607</t>
        </is>
      </c>
      <c r="F4040" s="2">
        <v>900161607011</v>
      </c>
      <c r="H4040" s="0" t="inlineStr">
        <is>
          <t>ONE SIZE</t>
        </is>
      </c>
      <c r="I4040" s="0">
        <v>32.99</v>
      </c>
      <c r="J4040" s="0">
        <v>265</v>
      </c>
    </row>
    <row r="4041" spans="1:10" customHeight="0">
      <c r="A4041" s="0">
        <f>HYPERLINK("https://dl.dropboxusercontent.com/scl/fi/byrm6t73p0f2pb3sii9sm/161609-f26-iowa-delilah-t.jpg?rlkey=c9bsq8x5saxxscnjfovdnp25a&amp;dl=0","Click to download Image")</f>
      </c>
      <c r="C4041" s="0" t="inlineStr">
        <is>
          <t>Delilah Clear Mini Backpack - Stadium Approved</t>
        </is>
      </c>
      <c r="D4041" s="1">
        <v>161609</v>
      </c>
      <c r="E4041" s="0" t="inlineStr">
        <is>
          <t>IOWA DELILA BK:161609</t>
        </is>
      </c>
      <c r="F4041" s="2">
        <v>900161609015</v>
      </c>
      <c r="H4041" s="0" t="inlineStr">
        <is>
          <t>ONE SIZE</t>
        </is>
      </c>
      <c r="I4041" s="0">
        <v>34.99</v>
      </c>
      <c r="J4041" s="0">
        <v>104</v>
      </c>
    </row>
    <row r="4042" spans="1:10" customHeight="0">
      <c r="A4042" s="0">
        <f>HYPERLINK("https://dl.dropboxusercontent.com/scl/fi/a7f1i9x48sysyflr9ncuc/161611-angelina-clear-crossbody-bagthumbnail.jpg?rlkey=wvrc7y244mrw718kduzf3zlki&amp;dl=0","Click to download Image")</f>
      </c>
      <c r="C4042" s="0" t="inlineStr">
        <is>
          <t>Angelina Clear Crossbody Bag - Stadium Approved</t>
        </is>
      </c>
      <c r="D4042" s="1">
        <v>161611</v>
      </c>
      <c r="E4042" s="0" t="inlineStr">
        <is>
          <t>IOWA ANGELI BK:161611</t>
        </is>
      </c>
      <c r="F4042" s="2">
        <v>900161611018</v>
      </c>
      <c r="H4042" s="0" t="inlineStr">
        <is>
          <t>ONE SIZE</t>
        </is>
      </c>
      <c r="I4042" s="0">
        <v>39.99</v>
      </c>
      <c r="J4042" s="0">
        <v>129</v>
      </c>
    </row>
    <row r="4043" spans="1:10" customHeight="0">
      <c r="A4043" s="0">
        <f>HYPERLINK("https://dl.dropboxusercontent.com/scl/fi/v0dkfxperknwdjuq9o4hf/161613-iowa-calmar-t.jpg?rlkey=4ettqszfhfokex34h1xi49ruv&amp;dl=0","Click to download Image")</f>
      </c>
      <c r="C4043" s="0" t="inlineStr">
        <is>
          <t>Calmar Clear Tote - Stadium Approved</t>
        </is>
      </c>
      <c r="D4043" s="1">
        <v>161613</v>
      </c>
      <c r="E4043" s="0" t="inlineStr">
        <is>
          <t>IOWA CALMAR BK:161613</t>
        </is>
      </c>
      <c r="F4043" s="2">
        <v>900161613012</v>
      </c>
      <c r="H4043" s="0" t="inlineStr">
        <is>
          <t>ONE SIZE</t>
        </is>
      </c>
      <c r="I4043" s="0">
        <v>19.99</v>
      </c>
      <c r="J4043" s="0">
        <v>-1</v>
      </c>
    </row>
    <row r="4044" spans="1:10" customHeight="0">
      <c r="A4044" s="0">
        <f>HYPERLINK("https://dl.dropboxusercontent.com/scl/fi/of9rjckqz9wfq21jqc7el/cms-slim.jpg?rlkey=7tm8t2pf10diq2eaw5xgsonuh&amp;dl=0","Click to download Image")</f>
      </c>
      <c r="C4044" s="0" t="inlineStr">
        <is>
          <t>Slim Can Can Cooler</t>
        </is>
      </c>
      <c r="D4044" s="1">
        <v>161067</v>
      </c>
      <c r="E4044" s="0" t="inlineStr">
        <is>
          <t>IOWA CAN SL BK:161067</t>
        </is>
      </c>
      <c r="F4044" s="2">
        <v>900161067013</v>
      </c>
      <c r="H4044" s="0" t="inlineStr">
        <is>
          <t>SLIM CAN</t>
        </is>
      </c>
      <c r="I4044" s="0">
        <v>9.99</v>
      </c>
      <c r="J4044" s="0">
        <v>283</v>
      </c>
    </row>
    <row r="4045" spans="1:10" customHeight="0">
      <c r="A4045" s="0">
        <f>HYPERLINK("https://dl.dropboxusercontent.com/scl/fi/8kl2ayqee4gyycp62oj7d/161032-iowa-mini-rubber-basketball-f.jpg?rlkey=f3p91ow1sv2se72sqafye40lo&amp;dl=0","Click to download Image")</f>
      </c>
      <c r="C4045" s="0" t="inlineStr">
        <is>
          <t>Mini Rubber Basketball</t>
        </is>
      </c>
      <c r="D4045" s="1">
        <v>161032</v>
      </c>
      <c r="E4045" s="0" t="inlineStr">
        <is>
          <t>IOWA BBALL 26 BK:161032</t>
        </is>
      </c>
      <c r="F4045" s="2">
        <v>900161032011</v>
      </c>
      <c r="H4045" s="0" t="inlineStr">
        <is>
          <t>ONE SIZE</t>
        </is>
      </c>
      <c r="I4045" s="0">
        <v>19.99</v>
      </c>
      <c r="J4045" s="0">
        <v>105</v>
      </c>
    </row>
    <row r="4046" spans="1:10" customHeight="0">
      <c r="A4046" s="0">
        <f>HYPERLINK("https://dl.dropboxusercontent.com/scl/fi/nxwragv2901w96t065vzr/iowa-football-t.jpg?rlkey=8q20ns6zi4ogzgg30z0nxnypj&amp;dl=0","Click to download Image")</f>
      </c>
      <c r="C4046" s="0" t="inlineStr">
        <is>
          <t>Mini Rubber Football</t>
        </is>
      </c>
      <c r="D4046" s="1">
        <v>160777</v>
      </c>
      <c r="E4046" s="0" t="inlineStr">
        <is>
          <t>IOWA FBALL 26 BK:160777</t>
        </is>
      </c>
      <c r="F4046" s="2">
        <v>900160777012</v>
      </c>
      <c r="H4046" s="0" t="inlineStr">
        <is>
          <t>ONE SIZE</t>
        </is>
      </c>
      <c r="I4046" s="0">
        <v>19.99</v>
      </c>
      <c r="J4046" s="0">
        <v>0</v>
      </c>
    </row>
    <row r="4047" spans="1:10" customHeight="0">
      <c r="A4047" s="0">
        <f>HYPERLINK("https://dl.dropboxusercontent.com/scl/fi/cej77x26zhomyldnab0pa/s26-catalog-images-11.jpg?rlkey=k34jhhmle3bze1d9d4tsr2cqw&amp;dl=0","Click to download Image")</f>
      </c>
      <c r="C4047" s="0" t="inlineStr">
        <is>
          <t>Squad Cheer Dress Youth</t>
        </is>
      </c>
      <c r="D4047" s="1">
        <v>161616</v>
      </c>
      <c r="E4047" s="0" t="inlineStr">
        <is>
          <t>IOWA SQUAD Y BK:161616B-YS</t>
        </is>
      </c>
      <c r="F4047" s="2">
        <v>800161616016</v>
      </c>
      <c r="G4047" s="0" t="inlineStr">
        <is>
          <t>YOUTH</t>
        </is>
      </c>
      <c r="H4047" s="0" t="inlineStr">
        <is>
          <t>YS</t>
        </is>
      </c>
      <c r="I4047" s="0">
        <v>39.99</v>
      </c>
      <c r="J4047" s="0">
        <v>3</v>
      </c>
    </row>
    <row r="4048" spans="1:10" customHeight="0">
      <c r="A4048" s="0">
        <f>HYPERLINK("https://dl.dropboxusercontent.com/scl/fi/cej77x26zhomyldnab0pa/s26-catalog-images-11.jpg?rlkey=k34jhhmle3bze1d9d4tsr2cqw&amp;dl=0","Click to download Image")</f>
      </c>
      <c r="C4048" s="0" t="inlineStr">
        <is>
          <t>Squad Cheer Dress Youth</t>
        </is>
      </c>
      <c r="D4048" s="1">
        <v>161616</v>
      </c>
      <c r="E4048" s="0" t="inlineStr">
        <is>
          <t>IOWA SQUAD Y BK:161616C-YM</t>
        </is>
      </c>
      <c r="F4048" s="2">
        <v>800161616023</v>
      </c>
      <c r="G4048" s="0" t="inlineStr">
        <is>
          <t>YOUTH</t>
        </is>
      </c>
      <c r="H4048" s="0" t="inlineStr">
        <is>
          <t>YM</t>
        </is>
      </c>
      <c r="I4048" s="0">
        <v>39.99</v>
      </c>
      <c r="J4048" s="0">
        <v>3</v>
      </c>
    </row>
    <row r="4049" spans="1:10" customHeight="0">
      <c r="A4049" s="0">
        <f>HYPERLINK("https://dl.dropboxusercontent.com/scl/fi/cej77x26zhomyldnab0pa/s26-catalog-images-11.jpg?rlkey=k34jhhmle3bze1d9d4tsr2cqw&amp;dl=0","Click to download Image")</f>
      </c>
      <c r="C4049" s="0" t="inlineStr">
        <is>
          <t>Squad Cheer Dress Youth</t>
        </is>
      </c>
      <c r="D4049" s="1">
        <v>161616</v>
      </c>
      <c r="E4049" s="0" t="inlineStr">
        <is>
          <t>IOWA SQUAD Y BK:161616D-YL</t>
        </is>
      </c>
      <c r="F4049" s="2">
        <v>800161616030</v>
      </c>
      <c r="G4049" s="0" t="inlineStr">
        <is>
          <t>YOUTH</t>
        </is>
      </c>
      <c r="H4049" s="0" t="inlineStr">
        <is>
          <t>YL</t>
        </is>
      </c>
      <c r="I4049" s="0">
        <v>39.99</v>
      </c>
      <c r="J4049" s="0">
        <v>3</v>
      </c>
    </row>
    <row r="4050" spans="1:10" customHeight="0">
      <c r="A4050" s="0">
        <f>HYPERLINK("https://dl.dropboxusercontent.com/scl/fi/cej77x26zhomyldnab0pa/s26-catalog-images-11.jpg?rlkey=k34jhhmle3bze1d9d4tsr2cqw&amp;dl=0","Click to download Image")</f>
      </c>
      <c r="C4050" s="0" t="inlineStr">
        <is>
          <t>Squad Cheer Dress Youth</t>
        </is>
      </c>
      <c r="D4050" s="1">
        <v>161616</v>
      </c>
      <c r="E4050" s="0" t="inlineStr">
        <is>
          <t>IOWA SQUAD Y BK:161616E-YXL</t>
        </is>
      </c>
      <c r="F4050" s="2">
        <v>800161616047</v>
      </c>
      <c r="G4050" s="0" t="inlineStr">
        <is>
          <t>YOUTH</t>
        </is>
      </c>
      <c r="H4050" s="0" t="inlineStr">
        <is>
          <t>YXL</t>
        </is>
      </c>
      <c r="I4050" s="0">
        <v>39.99</v>
      </c>
      <c r="J4050" s="0">
        <v>3</v>
      </c>
    </row>
    <row r="4051" spans="1:10" customHeight="0">
      <c r="A4051" s="0">
        <f>HYPERLINK("https://dl.dropboxusercontent.com/scl/fi/cej77x26zhomyldnab0pa/s26-catalog-images-11.jpg?rlkey=k34jhhmle3bze1d9d4tsr2cqw&amp;dl=0","Click to download Image")</f>
      </c>
      <c r="C4051" s="0" t="inlineStr">
        <is>
          <t>Squad Cheer Dress Youth</t>
        </is>
      </c>
      <c r="D4051" s="1">
        <v>161616</v>
      </c>
      <c r="E4051" s="0" t="inlineStr">
        <is>
          <t>IOWA SQUAD Y BK:161616Z-12PK</t>
        </is>
      </c>
      <c r="F4051" s="2">
        <v>800161616993</v>
      </c>
      <c r="G4051" s="0" t="inlineStr">
        <is>
          <t>YOUTH</t>
        </is>
      </c>
      <c r="H4051" s="0" t="inlineStr">
        <is>
          <t>12 PACK</t>
        </is>
      </c>
      <c r="I4051" s="0">
        <v>384</v>
      </c>
      <c r="J4051" s="0">
        <v>0</v>
      </c>
    </row>
    <row r="4052" spans="1:10" customHeight="0">
      <c r="A4052" s="0">
        <f>HYPERLINK("https://dl.dropboxusercontent.com/scl/fi/ur1rbzxhoua3h0dn8ve3s/rachelle-2.0-non-season-02.jpg?rlkey=7kdydit1gg88lqkqjm85lw4km&amp;dl=0","Click to download Image")</f>
      </c>
      <c r="C4052" s="0" t="inlineStr">
        <is>
          <t>Rachelle 2.0 Clear Tote - Stadium Approved</t>
        </is>
      </c>
      <c r="D4052" s="1">
        <v>160501</v>
      </c>
      <c r="E4052" s="0" t="inlineStr">
        <is>
          <t>IOWA RACHEL BK:160501</t>
        </is>
      </c>
      <c r="F4052" s="2">
        <v>900160501013</v>
      </c>
      <c r="H4052" s="0" t="inlineStr">
        <is>
          <t>ONE SIZE</t>
        </is>
      </c>
      <c r="I4052" s="0">
        <v>32.99</v>
      </c>
      <c r="J4052" s="0">
        <v>136</v>
      </c>
    </row>
    <row r="4053" spans="1:10" customHeight="0">
      <c r="A4053" s="0">
        <f>HYPERLINK("https://dl.dropboxusercontent.com/scl/fi/6mbev51tibsnyd3a5rscq/160775-161035-iowa-dasher-t.jpg?rlkey=82mdyvmtoau38b0jd7ux7yk9o&amp;dl=0","Click to download Image")</f>
      </c>
      <c r="C4053" s="0" t="inlineStr">
        <is>
          <t>Dasher Men's Ugly Sweatshirt</t>
        </is>
      </c>
      <c r="D4053" s="1">
        <v>160775</v>
      </c>
      <c r="E4053" s="0" t="inlineStr">
        <is>
          <t>IOWA DASHER M ALT:160775A-S</t>
        </is>
      </c>
      <c r="F4053" s="2">
        <v>800160775042</v>
      </c>
      <c r="G4053" s="0" t="inlineStr">
        <is>
          <t>MENS</t>
        </is>
      </c>
      <c r="H4053" s="0" t="inlineStr">
        <is>
          <t>S</t>
        </is>
      </c>
      <c r="I4053" s="0">
        <v>49.99</v>
      </c>
      <c r="J4053" s="0">
        <v>7</v>
      </c>
    </row>
    <row r="4054" spans="1:10" customHeight="0">
      <c r="A4054" s="0">
        <f>HYPERLINK("https://dl.dropboxusercontent.com/scl/fi/6mbev51tibsnyd3a5rscq/160775-161035-iowa-dasher-t.jpg?rlkey=82mdyvmtoau38b0jd7ux7yk9o&amp;dl=0","Click to download Image")</f>
      </c>
      <c r="C4054" s="0" t="inlineStr">
        <is>
          <t>Dasher Men's Ugly Sweatshirt</t>
        </is>
      </c>
      <c r="D4054" s="1">
        <v>160775</v>
      </c>
      <c r="E4054" s="0" t="inlineStr">
        <is>
          <t>IOWA DASHER M ALT:160775B-M</t>
        </is>
      </c>
      <c r="F4054" s="2">
        <v>800160775059</v>
      </c>
      <c r="G4054" s="0" t="inlineStr">
        <is>
          <t>MENS</t>
        </is>
      </c>
      <c r="H4054" s="0" t="inlineStr">
        <is>
          <t>M</t>
        </is>
      </c>
      <c r="I4054" s="0">
        <v>49.99</v>
      </c>
      <c r="J4054" s="0">
        <v>14</v>
      </c>
    </row>
    <row r="4055" spans="1:10" customHeight="0">
      <c r="A4055" s="0">
        <f>HYPERLINK("https://dl.dropboxusercontent.com/scl/fi/6mbev51tibsnyd3a5rscq/160775-161035-iowa-dasher-t.jpg?rlkey=82mdyvmtoau38b0jd7ux7yk9o&amp;dl=0","Click to download Image")</f>
      </c>
      <c r="C4055" s="0" t="inlineStr">
        <is>
          <t>Dasher Men's Ugly Sweatshirt</t>
        </is>
      </c>
      <c r="D4055" s="1">
        <v>160775</v>
      </c>
      <c r="E4055" s="0" t="inlineStr">
        <is>
          <t>IOWA DASHER M ALT:160775C-L</t>
        </is>
      </c>
      <c r="F4055" s="2">
        <v>800160775066</v>
      </c>
      <c r="G4055" s="0" t="inlineStr">
        <is>
          <t>MENS</t>
        </is>
      </c>
      <c r="H4055" s="0" t="inlineStr">
        <is>
          <t>L</t>
        </is>
      </c>
      <c r="I4055" s="0">
        <v>49.99</v>
      </c>
      <c r="J4055" s="0">
        <v>20</v>
      </c>
    </row>
    <row r="4056" spans="1:10" customHeight="0">
      <c r="A4056" s="0">
        <f>HYPERLINK("https://dl.dropboxusercontent.com/scl/fi/6mbev51tibsnyd3a5rscq/160775-161035-iowa-dasher-t.jpg?rlkey=82mdyvmtoau38b0jd7ux7yk9o&amp;dl=0","Click to download Image")</f>
      </c>
      <c r="C4056" s="0" t="inlineStr">
        <is>
          <t>Dasher Men's Ugly Sweatshirt</t>
        </is>
      </c>
      <c r="D4056" s="1">
        <v>160775</v>
      </c>
      <c r="E4056" s="0" t="inlineStr">
        <is>
          <t>IOWA DASHER M ALT:160775D-XL</t>
        </is>
      </c>
      <c r="F4056" s="2">
        <v>800160775073</v>
      </c>
      <c r="G4056" s="0" t="inlineStr">
        <is>
          <t>MENS</t>
        </is>
      </c>
      <c r="H4056" s="0" t="inlineStr">
        <is>
          <t>XL</t>
        </is>
      </c>
      <c r="I4056" s="0">
        <v>49.99</v>
      </c>
      <c r="J4056" s="0">
        <v>21</v>
      </c>
    </row>
    <row r="4057" spans="1:10" customHeight="0">
      <c r="A4057" s="0">
        <f>HYPERLINK("https://dl.dropboxusercontent.com/scl/fi/6mbev51tibsnyd3a5rscq/160775-161035-iowa-dasher-t.jpg?rlkey=82mdyvmtoau38b0jd7ux7yk9o&amp;dl=0","Click to download Image")</f>
      </c>
      <c r="C4057" s="0" t="inlineStr">
        <is>
          <t>Dasher Men's Ugly Sweatshirt</t>
        </is>
      </c>
      <c r="D4057" s="1">
        <v>160775</v>
      </c>
      <c r="E4057" s="0" t="inlineStr">
        <is>
          <t>IOWA DASHER M ALT:160775E-2XL</t>
        </is>
      </c>
      <c r="F4057" s="2">
        <v>800160775080</v>
      </c>
      <c r="G4057" s="0" t="inlineStr">
        <is>
          <t>MENS</t>
        </is>
      </c>
      <c r="H4057" s="0" t="inlineStr">
        <is>
          <t>2XL</t>
        </is>
      </c>
      <c r="I4057" s="0">
        <v>51.99</v>
      </c>
      <c r="J4057" s="0">
        <v>14</v>
      </c>
    </row>
    <row r="4058" spans="1:10" customHeight="0">
      <c r="A4058" s="0">
        <f>HYPERLINK("https://dl.dropboxusercontent.com/scl/fi/6mbev51tibsnyd3a5rscq/160775-161035-iowa-dasher-t.jpg?rlkey=82mdyvmtoau38b0jd7ux7yk9o&amp;dl=0","Click to download Image")</f>
      </c>
      <c r="C4058" s="0" t="inlineStr">
        <is>
          <t>Dasher Men's Ugly Sweatshirt</t>
        </is>
      </c>
      <c r="D4058" s="1">
        <v>160775</v>
      </c>
      <c r="E4058" s="0" t="inlineStr">
        <is>
          <t>IOWA DASHER M ALT:160775F-3XL</t>
        </is>
      </c>
      <c r="F4058" s="2">
        <v>800160775097</v>
      </c>
      <c r="G4058" s="0" t="inlineStr">
        <is>
          <t>MENS</t>
        </is>
      </c>
      <c r="H4058" s="0" t="inlineStr">
        <is>
          <t>3XL</t>
        </is>
      </c>
      <c r="I4058" s="0">
        <v>51.99</v>
      </c>
      <c r="J4058" s="0">
        <v>7</v>
      </c>
    </row>
    <row r="4059" spans="1:10" customHeight="0">
      <c r="A4059" s="0">
        <f>HYPERLINK("https://dl.dropboxusercontent.com/scl/fi/6mbev51tibsnyd3a5rscq/160775-161035-iowa-dasher-t.jpg?rlkey=82mdyvmtoau38b0jd7ux7yk9o&amp;dl=0","Click to download Image")</f>
      </c>
      <c r="C4059" s="0" t="inlineStr">
        <is>
          <t>Dasher Men's Ugly Sweatshirt</t>
        </is>
      </c>
      <c r="D4059" s="1">
        <v>160775</v>
      </c>
      <c r="E4059" s="0" t="inlineStr">
        <is>
          <t>BULK DASHER:160775OSFM</t>
        </is>
      </c>
      <c r="F4059" s="2">
        <v>800160775349</v>
      </c>
      <c r="G4059" s="0" t="inlineStr">
        <is>
          <t>MENS</t>
        </is>
      </c>
      <c r="H4059" s="0" t="inlineStr">
        <is>
          <t>12 PACK</t>
        </is>
      </c>
      <c r="I4059" s="0">
        <v>486</v>
      </c>
      <c r="J4059" s="0">
        <v>0</v>
      </c>
    </row>
    <row r="4060" spans="1:10" customHeight="0">
      <c r="A4060" s="0">
        <f>HYPERLINK("https://dl.dropboxusercontent.com/scl/fi/0up18icjoz31tpdrsqnny/161035-iowa-dasher-t.jpg?rlkey=4pfaasqblv2f8rd8ovjwgvtbb&amp;dl=0","Click to download Image")</f>
      </c>
      <c r="C4060" s="0" t="inlineStr">
        <is>
          <t>Dasher Men's Ugly Sweatshirt</t>
        </is>
      </c>
      <c r="D4060" s="1">
        <v>161035</v>
      </c>
      <c r="E4060" s="0" t="inlineStr">
        <is>
          <t>IOWA DASHER M BK:161035A-S</t>
        </is>
      </c>
      <c r="F4060" s="2">
        <v>800161035046</v>
      </c>
      <c r="G4060" s="0" t="inlineStr">
        <is>
          <t>MENS</t>
        </is>
      </c>
      <c r="H4060" s="0" t="inlineStr">
        <is>
          <t>S</t>
        </is>
      </c>
      <c r="I4060" s="0">
        <v>49.99</v>
      </c>
      <c r="J4060" s="0">
        <v>6</v>
      </c>
    </row>
    <row r="4061" spans="1:10" customHeight="0">
      <c r="A4061" s="0">
        <f>HYPERLINK("https://dl.dropboxusercontent.com/scl/fi/0up18icjoz31tpdrsqnny/161035-iowa-dasher-t.jpg?rlkey=4pfaasqblv2f8rd8ovjwgvtbb&amp;dl=0","Click to download Image")</f>
      </c>
      <c r="C4061" s="0" t="inlineStr">
        <is>
          <t>Dasher Men's Ugly Sweatshirt</t>
        </is>
      </c>
      <c r="D4061" s="1">
        <v>161035</v>
      </c>
      <c r="E4061" s="0" t="inlineStr">
        <is>
          <t>IOWA DASHER M BK:161035B-M</t>
        </is>
      </c>
      <c r="F4061" s="2">
        <v>800161035053</v>
      </c>
      <c r="G4061" s="0" t="inlineStr">
        <is>
          <t>MENS</t>
        </is>
      </c>
      <c r="H4061" s="0" t="inlineStr">
        <is>
          <t>M</t>
        </is>
      </c>
      <c r="I4061" s="0">
        <v>49.99</v>
      </c>
      <c r="J4061" s="0">
        <v>11</v>
      </c>
    </row>
    <row r="4062" spans="1:10" customHeight="0">
      <c r="A4062" s="0">
        <f>HYPERLINK("https://dl.dropboxusercontent.com/scl/fi/0up18icjoz31tpdrsqnny/161035-iowa-dasher-t.jpg?rlkey=4pfaasqblv2f8rd8ovjwgvtbb&amp;dl=0","Click to download Image")</f>
      </c>
      <c r="C4062" s="0" t="inlineStr">
        <is>
          <t>Dasher Men's Ugly Sweatshirt</t>
        </is>
      </c>
      <c r="D4062" s="1">
        <v>161035</v>
      </c>
      <c r="E4062" s="0" t="inlineStr">
        <is>
          <t>IOWA DASHER M BK:161035C-L</t>
        </is>
      </c>
      <c r="F4062" s="2">
        <v>800161035060</v>
      </c>
      <c r="G4062" s="0" t="inlineStr">
        <is>
          <t>MENS</t>
        </is>
      </c>
      <c r="H4062" s="0" t="inlineStr">
        <is>
          <t>L</t>
        </is>
      </c>
      <c r="I4062" s="0">
        <v>49.99</v>
      </c>
      <c r="J4062" s="0">
        <v>16</v>
      </c>
    </row>
    <row r="4063" spans="1:10" customHeight="0">
      <c r="A4063" s="0">
        <f>HYPERLINK("https://dl.dropboxusercontent.com/scl/fi/0up18icjoz31tpdrsqnny/161035-iowa-dasher-t.jpg?rlkey=4pfaasqblv2f8rd8ovjwgvtbb&amp;dl=0","Click to download Image")</f>
      </c>
      <c r="C4063" s="0" t="inlineStr">
        <is>
          <t>Dasher Men's Ugly Sweatshirt</t>
        </is>
      </c>
      <c r="D4063" s="1">
        <v>161035</v>
      </c>
      <c r="E4063" s="0" t="inlineStr">
        <is>
          <t>IOWA DASHER M BK:161035D-XL</t>
        </is>
      </c>
      <c r="F4063" s="2">
        <v>800161035077</v>
      </c>
      <c r="G4063" s="0" t="inlineStr">
        <is>
          <t>MENS</t>
        </is>
      </c>
      <c r="H4063" s="0" t="inlineStr">
        <is>
          <t>XL</t>
        </is>
      </c>
      <c r="I4063" s="0">
        <v>49.99</v>
      </c>
      <c r="J4063" s="0">
        <v>17</v>
      </c>
    </row>
    <row r="4064" spans="1:10" customHeight="0">
      <c r="A4064" s="0">
        <f>HYPERLINK("https://dl.dropboxusercontent.com/scl/fi/0up18icjoz31tpdrsqnny/161035-iowa-dasher-t.jpg?rlkey=4pfaasqblv2f8rd8ovjwgvtbb&amp;dl=0","Click to download Image")</f>
      </c>
      <c r="C4064" s="0" t="inlineStr">
        <is>
          <t>Dasher Men's Ugly Sweatshirt</t>
        </is>
      </c>
      <c r="D4064" s="1">
        <v>161035</v>
      </c>
      <c r="E4064" s="0" t="inlineStr">
        <is>
          <t>IOWA DASHER M BK:161035E-2XL</t>
        </is>
      </c>
      <c r="F4064" s="2">
        <v>800161035084</v>
      </c>
      <c r="G4064" s="0" t="inlineStr">
        <is>
          <t>MENS</t>
        </is>
      </c>
      <c r="H4064" s="0" t="inlineStr">
        <is>
          <t>2XL</t>
        </is>
      </c>
      <c r="I4064" s="0">
        <v>51.99</v>
      </c>
      <c r="J4064" s="0">
        <v>11</v>
      </c>
    </row>
    <row r="4065" spans="1:10" customHeight="0">
      <c r="A4065" s="0">
        <f>HYPERLINK("https://dl.dropboxusercontent.com/scl/fi/0up18icjoz31tpdrsqnny/161035-iowa-dasher-t.jpg?rlkey=4pfaasqblv2f8rd8ovjwgvtbb&amp;dl=0","Click to download Image")</f>
      </c>
      <c r="C4065" s="0" t="inlineStr">
        <is>
          <t>Dasher Men's Ugly Sweatshirt</t>
        </is>
      </c>
      <c r="D4065" s="1">
        <v>161035</v>
      </c>
      <c r="E4065" s="0" t="inlineStr">
        <is>
          <t>IOWA DASHER M BK:161035F-3XL</t>
        </is>
      </c>
      <c r="F4065" s="2">
        <v>800161035091</v>
      </c>
      <c r="G4065" s="0" t="inlineStr">
        <is>
          <t>MENS</t>
        </is>
      </c>
      <c r="H4065" s="0" t="inlineStr">
        <is>
          <t>3XL</t>
        </is>
      </c>
      <c r="I4065" s="0">
        <v>51.99</v>
      </c>
      <c r="J4065" s="0">
        <v>6</v>
      </c>
    </row>
    <row r="4066" spans="1:10" customHeight="0">
      <c r="A4066" s="0">
        <f>HYPERLINK("https://dl.dropboxusercontent.com/scl/fi/0up18icjoz31tpdrsqnny/161035-iowa-dasher-t.jpg?rlkey=4pfaasqblv2f8rd8ovjwgvtbb&amp;dl=0","Click to download Image")</f>
      </c>
      <c r="C4066" s="0" t="inlineStr">
        <is>
          <t>Dasher Men's Ugly Sweatshirt</t>
        </is>
      </c>
      <c r="D4066" s="1">
        <v>161035</v>
      </c>
      <c r="E4066" s="0" t="inlineStr">
        <is>
          <t>BULK DASHER:161035OSFM</t>
        </is>
      </c>
      <c r="F4066" s="2">
        <v>800160775349</v>
      </c>
      <c r="G4066" s="0" t="inlineStr">
        <is>
          <t>MENS</t>
        </is>
      </c>
      <c r="H4066" s="0" t="inlineStr">
        <is>
          <t>12 PACK</t>
        </is>
      </c>
      <c r="I4066" s="0">
        <v>486</v>
      </c>
      <c r="J4066" s="0">
        <v>0</v>
      </c>
    </row>
    <row r="4067" spans="1:10" customHeight="0">
      <c r="A4067" s="0">
        <f>HYPERLINK("https://dl.dropboxusercontent.com/scl/fi/ej2mv9mat4twhjaazcbf3/160968-iowa-hudson-t.jpg?rlkey=dl4l7nbryszex1enc7qtdnajx&amp;dl=0","Click to download Image")</f>
      </c>
      <c r="C4067" s="0" t="inlineStr">
        <is>
          <t>Hudson 1 Men's Cap</t>
        </is>
      </c>
      <c r="D4067" s="1">
        <v>160968</v>
      </c>
      <c r="E4067" s="0" t="inlineStr">
        <is>
          <t>IOWA HUDSON 1 ST:160968</t>
        </is>
      </c>
      <c r="F4067" s="2">
        <v>700160968003</v>
      </c>
      <c r="G4067" s="0" t="inlineStr">
        <is>
          <t>MENS</t>
        </is>
      </c>
      <c r="H4067" s="0" t="inlineStr">
        <is>
          <t>STANDARD MENS</t>
        </is>
      </c>
      <c r="I4067" s="0">
        <v>24.99</v>
      </c>
      <c r="J4067" s="0">
        <v>7</v>
      </c>
    </row>
    <row r="4068" spans="1:10" customHeight="0">
      <c r="A4068" s="0">
        <f>HYPERLINK("https://dl.dropboxusercontent.com/scl/fi/1m2l16iyhef1zhojtb79w/160787-iowa-colt-t.jpg?rlkey=3xyiudq8ifjgy3rpjuy9qgxpj&amp;dl=0","Click to download Image")</f>
      </c>
      <c r="C4068" s="0" t="inlineStr">
        <is>
          <t>Colt 2 Men's Cap</t>
        </is>
      </c>
      <c r="D4068" s="1">
        <v>160787</v>
      </c>
      <c r="E4068" s="0" t="inlineStr">
        <is>
          <t>IOWA COLT 2 GD:160787</t>
        </is>
      </c>
      <c r="F4068" s="2">
        <v>700160787000</v>
      </c>
      <c r="G4068" s="0" t="inlineStr">
        <is>
          <t>MENS</t>
        </is>
      </c>
      <c r="H4068" s="0" t="inlineStr">
        <is>
          <t>STANDARD MENS</t>
        </is>
      </c>
      <c r="I4068" s="0">
        <v>24.99</v>
      </c>
      <c r="J4068" s="0">
        <v>97</v>
      </c>
    </row>
    <row r="4069" spans="1:10" customHeight="0">
      <c r="A4069" s="0">
        <f>HYPERLINK("https://dl.dropboxusercontent.com/scl/fi/ryvf32rhf540gunv11rz0/160780-iowa-stockton-beanie-t.jpg?rlkey=ogz8z2k1wxlnjjctao9ygk8h1&amp;dl=0","Click to download Image")</f>
      </c>
      <c r="C4069" s="0" t="inlineStr">
        <is>
          <t>Stockton 1 Adult Beanie</t>
        </is>
      </c>
      <c r="D4069" s="1">
        <v>160780</v>
      </c>
      <c r="E4069" s="0" t="inlineStr">
        <is>
          <t>IOWA STOCKTON 1 GD:160780</t>
        </is>
      </c>
      <c r="F4069" s="2">
        <v>700160780018</v>
      </c>
      <c r="G4069" s="0" t="inlineStr">
        <is>
          <t>MENS</t>
        </is>
      </c>
      <c r="H4069" s="0" t="inlineStr">
        <is>
          <t>ADULT</t>
        </is>
      </c>
      <c r="I4069" s="0">
        <v>29.99</v>
      </c>
      <c r="J4069" s="0">
        <v>240</v>
      </c>
    </row>
    <row r="4070" spans="1:10" customHeight="0">
      <c r="A4070" s="0">
        <f>HYPERLINK("https://dl.dropboxusercontent.com/scl/fi/dtn9rm647igzquepwg67a/160781-isu-ivan-beanie-t.jpg?rlkey=liq11oo8thjhk0i8sbbx8t5zp&amp;dl=0","Click to download Image")</f>
      </c>
      <c r="C4070" s="0" t="inlineStr">
        <is>
          <t>Stockton 2 Adult Beanie</t>
        </is>
      </c>
      <c r="D4070" s="1">
        <v>160781</v>
      </c>
      <c r="E4070" s="0" t="inlineStr">
        <is>
          <t>IOWA STOCKTON 2 BK:160781</t>
        </is>
      </c>
      <c r="F4070" s="2">
        <v>700160781015</v>
      </c>
      <c r="G4070" s="0" t="inlineStr">
        <is>
          <t>MENS</t>
        </is>
      </c>
      <c r="H4070" s="0" t="inlineStr">
        <is>
          <t>ADULT</t>
        </is>
      </c>
      <c r="I4070" s="0">
        <v>29.99</v>
      </c>
      <c r="J4070" s="0">
        <v>240</v>
      </c>
    </row>
    <row r="4071" spans="1:10" customHeight="0">
      <c r="A4071" s="0">
        <f>HYPERLINK("https://dl.dropboxusercontent.com/scl/fi/hm61wdfxebm177vrntipy/160782-iowa-stockton-beanie-t.jpg?rlkey=en45a4vkbdmcs5no2vuy674s8&amp;dl=0","Click to download Image")</f>
      </c>
      <c r="C4071" s="0" t="inlineStr">
        <is>
          <t>Stockton 3 Adult Beanie</t>
        </is>
      </c>
      <c r="D4071" s="1">
        <v>160782</v>
      </c>
      <c r="E4071" s="0" t="inlineStr">
        <is>
          <t>IOWA STOCKTON 3 BK:160782</t>
        </is>
      </c>
      <c r="F4071" s="2">
        <v>700160782012</v>
      </c>
      <c r="G4071" s="0" t="inlineStr">
        <is>
          <t>MENS</t>
        </is>
      </c>
      <c r="H4071" s="0" t="inlineStr">
        <is>
          <t>ADULT</t>
        </is>
      </c>
      <c r="I4071" s="0">
        <v>29.99</v>
      </c>
      <c r="J4071" s="0">
        <v>228</v>
      </c>
    </row>
    <row r="4072" spans="1:10" customHeight="0">
      <c r="A4072" s="0">
        <f>HYPERLINK("https://dl.dropboxusercontent.com/scl/fi/1vfwcqpny0zt8htkmgrqo/160783-iowa-stockton-beanie-t.jpg?rlkey=mnz5uyiini458qp10zr82hrb8&amp;dl=0","Click to download Image")</f>
      </c>
      <c r="C4072" s="0" t="inlineStr">
        <is>
          <t>Stockton 4 Adult Beanie</t>
        </is>
      </c>
      <c r="D4072" s="1">
        <v>160783</v>
      </c>
      <c r="E4072" s="0" t="inlineStr">
        <is>
          <t>IOWA STOCKTON 4 BK:160783</t>
        </is>
      </c>
      <c r="F4072" s="2">
        <v>700160783019</v>
      </c>
      <c r="G4072" s="0" t="inlineStr">
        <is>
          <t>MENS</t>
        </is>
      </c>
      <c r="H4072" s="0" t="inlineStr">
        <is>
          <t>STANDARD</t>
        </is>
      </c>
      <c r="I4072" s="0">
        <v>29.99</v>
      </c>
      <c r="J4072" s="0">
        <v>224</v>
      </c>
    </row>
    <row r="4073" spans="1:10" customHeight="0">
      <c r="A4073" s="0">
        <f>HYPERLINK("https://dl.dropboxusercontent.com/scl/fi/0i5qd8d4iyu53g8h4mylc/160784-iowa-stockton-beanie-t.jpg?rlkey=f1lj0675e3tog992pkqpsb1sl&amp;dl=0","Click to download Image")</f>
      </c>
      <c r="C4073" s="0" t="inlineStr">
        <is>
          <t>Stockton 5 Adult Beanie</t>
        </is>
      </c>
      <c r="D4073" s="1">
        <v>160784</v>
      </c>
      <c r="E4073" s="0" t="inlineStr">
        <is>
          <t>IOWA STOCKTON 5 BK:160784</t>
        </is>
      </c>
      <c r="F4073" s="2">
        <v>700160784016</v>
      </c>
      <c r="G4073" s="0" t="inlineStr">
        <is>
          <t>MENS</t>
        </is>
      </c>
      <c r="H4073" s="0" t="inlineStr">
        <is>
          <t>ADULT</t>
        </is>
      </c>
      <c r="I4073" s="0">
        <v>29.99</v>
      </c>
      <c r="J4073" s="0">
        <v>228</v>
      </c>
    </row>
    <row r="4074" spans="1:10" customHeight="0">
      <c r="A4074" s="0">
        <f>HYPERLINK("https://dl.dropboxusercontent.com/scl/fi/rdd8e852kypdpyui7xjls/160785-iowa-stockton-beanie-t.jpg?rlkey=bg1oarrugaw6hx0vrx6nmny4r&amp;dl=0","Click to download Image")</f>
      </c>
      <c r="C4074" s="0" t="inlineStr">
        <is>
          <t>Stockton 6 Adult Beanie</t>
        </is>
      </c>
      <c r="D4074" s="1">
        <v>160785</v>
      </c>
      <c r="E4074" s="0" t="inlineStr">
        <is>
          <t>IOWA STOCKTON 6 GY:160785</t>
        </is>
      </c>
      <c r="F4074" s="2">
        <v>700160785013</v>
      </c>
      <c r="G4074" s="0" t="inlineStr">
        <is>
          <t>MENS</t>
        </is>
      </c>
      <c r="H4074" s="0" t="inlineStr">
        <is>
          <t>ADULT</t>
        </is>
      </c>
      <c r="I4074" s="0">
        <v>29.99</v>
      </c>
      <c r="J4074" s="0">
        <v>240</v>
      </c>
    </row>
    <row r="4075" spans="1:10" customHeight="0">
      <c r="A4075" s="0">
        <f>HYPERLINK("https://dl.dropboxusercontent.com/scl/fi/4x27wxy1p60ovxtnbpyuu/s26-catalog-images-11.jpg?rlkey=rcdyuhn8yl287ygot9m5msvuc&amp;dl=0","Click to download Image")</f>
      </c>
      <c r="C4075" s="0" t="inlineStr">
        <is>
          <t>Squad Cheer Dress Toddler</t>
        </is>
      </c>
      <c r="D4075" s="1">
        <v>161764</v>
      </c>
      <c r="E4075" s="0" t="inlineStr">
        <is>
          <t>IOWA SQUAD T BK:161764A-2T</t>
        </is>
      </c>
      <c r="F4075" s="2">
        <v>800161764083</v>
      </c>
      <c r="G4075" s="0" t="inlineStr">
        <is>
          <t>TODDLER</t>
        </is>
      </c>
      <c r="H4075" s="0" t="inlineStr">
        <is>
          <t>2T</t>
        </is>
      </c>
      <c r="I4075" s="0">
        <v>39.99</v>
      </c>
      <c r="J4075" s="0">
        <v>3</v>
      </c>
    </row>
    <row r="4076" spans="1:10" customHeight="0">
      <c r="A4076" s="0">
        <f>HYPERLINK("https://dl.dropboxusercontent.com/scl/fi/4x27wxy1p60ovxtnbpyuu/s26-catalog-images-11.jpg?rlkey=rcdyuhn8yl287ygot9m5msvuc&amp;dl=0","Click to download Image")</f>
      </c>
      <c r="C4076" s="0" t="inlineStr">
        <is>
          <t>Squad Cheer Dress Toddler</t>
        </is>
      </c>
      <c r="D4076" s="1">
        <v>161764</v>
      </c>
      <c r="E4076" s="0" t="inlineStr">
        <is>
          <t>IOWA SQUAD T BK:161764B-3T</t>
        </is>
      </c>
      <c r="F4076" s="2">
        <v>800161764090</v>
      </c>
      <c r="G4076" s="0" t="inlineStr">
        <is>
          <t>TODDLER</t>
        </is>
      </c>
      <c r="H4076" s="0" t="inlineStr">
        <is>
          <t>3T</t>
        </is>
      </c>
      <c r="I4076" s="0">
        <v>39.99</v>
      </c>
      <c r="J4076" s="0">
        <v>3</v>
      </c>
    </row>
    <row r="4077" spans="1:10" customHeight="0">
      <c r="A4077" s="0">
        <f>HYPERLINK("https://dl.dropboxusercontent.com/scl/fi/4x27wxy1p60ovxtnbpyuu/s26-catalog-images-11.jpg?rlkey=rcdyuhn8yl287ygot9m5msvuc&amp;dl=0","Click to download Image")</f>
      </c>
      <c r="C4077" s="0" t="inlineStr">
        <is>
          <t>Squad Cheer Dress Toddler</t>
        </is>
      </c>
      <c r="D4077" s="1">
        <v>161764</v>
      </c>
      <c r="E4077" s="0" t="inlineStr">
        <is>
          <t>IOWA SQUAD T BK:161764C-4T</t>
        </is>
      </c>
      <c r="F4077" s="2">
        <v>800161764106</v>
      </c>
      <c r="G4077" s="0" t="inlineStr">
        <is>
          <t>TODDLER</t>
        </is>
      </c>
      <c r="H4077" s="0" t="inlineStr">
        <is>
          <t>4T</t>
        </is>
      </c>
      <c r="I4077" s="0">
        <v>39.99</v>
      </c>
      <c r="J4077" s="0">
        <v>3</v>
      </c>
    </row>
    <row r="4078" spans="1:10" customHeight="0">
      <c r="A4078" s="0">
        <f>HYPERLINK("https://dl.dropboxusercontent.com/scl/fi/4x27wxy1p60ovxtnbpyuu/s26-catalog-images-11.jpg?rlkey=rcdyuhn8yl287ygot9m5msvuc&amp;dl=0","Click to download Image")</f>
      </c>
      <c r="C4078" s="0" t="inlineStr">
        <is>
          <t>Squad Cheer Dress Toddler</t>
        </is>
      </c>
      <c r="D4078" s="1">
        <v>161764</v>
      </c>
      <c r="E4078" s="0" t="inlineStr">
        <is>
          <t>IOWA SQUAD T BK:161764D-5T</t>
        </is>
      </c>
      <c r="F4078" s="2">
        <v>800161764113</v>
      </c>
      <c r="G4078" s="0" t="inlineStr">
        <is>
          <t>TODDLER</t>
        </is>
      </c>
      <c r="H4078" s="0" t="inlineStr">
        <is>
          <t>5T</t>
        </is>
      </c>
      <c r="I4078" s="0">
        <v>39.99</v>
      </c>
      <c r="J4078" s="0">
        <v>3</v>
      </c>
    </row>
    <row r="4079" spans="1:10" customHeight="0">
      <c r="A4079" s="0">
        <f>HYPERLINK("https://dl.dropboxusercontent.com/scl/fi/4x27wxy1p60ovxtnbpyuu/s26-catalog-images-11.jpg?rlkey=rcdyuhn8yl287ygot9m5msvuc&amp;dl=0","Click to download Image")</f>
      </c>
      <c r="C4079" s="0" t="inlineStr">
        <is>
          <t>Squad Cheer Dress Toddler</t>
        </is>
      </c>
      <c r="D4079" s="1">
        <v>161764</v>
      </c>
      <c r="E4079" s="0" t="inlineStr">
        <is>
          <t>IOWA SQUAD T BK:161764Z-12PK</t>
        </is>
      </c>
      <c r="F4079" s="2">
        <v>800161764984</v>
      </c>
      <c r="G4079" s="0" t="inlineStr">
        <is>
          <t>TODDLER</t>
        </is>
      </c>
      <c r="H4079" s="0" t="inlineStr">
        <is>
          <t>12 PACK</t>
        </is>
      </c>
      <c r="I4079" s="0">
        <v>384</v>
      </c>
      <c r="J4079" s="0">
        <v>0</v>
      </c>
    </row>
    <row r="4080" spans="1:10" customHeight="0">
      <c r="A4080" s="0">
        <f>HYPERLINK("https://dl.dropboxusercontent.com/scl/fi/4n7ld9yf93ry5xokauclo/161849-iowa-keoni-t.jpg?rlkey=gsqftbejx2isqxvkafc3d44xk&amp;dl=0","Click to download Image")</f>
      </c>
      <c r="C4080" s="0" t="inlineStr">
        <is>
          <t>Keoni Men's Hawaiian Shirt</t>
        </is>
      </c>
      <c r="D4080" s="1">
        <v>161849</v>
      </c>
      <c r="E4080" s="0" t="inlineStr">
        <is>
          <t>IOWA KEONI M BK:161849A-S</t>
        </is>
      </c>
      <c r="F4080" s="2">
        <v>800161849049</v>
      </c>
      <c r="G4080" s="0" t="inlineStr">
        <is>
          <t>MENS</t>
        </is>
      </c>
      <c r="H4080" s="0" t="inlineStr">
        <is>
          <t>S</t>
        </is>
      </c>
      <c r="I4080" s="0">
        <v>54.99</v>
      </c>
      <c r="J4080" s="0">
        <v>6</v>
      </c>
    </row>
    <row r="4081" spans="1:10" customHeight="0">
      <c r="A4081" s="0">
        <f>HYPERLINK("https://dl.dropboxusercontent.com/scl/fi/4n7ld9yf93ry5xokauclo/161849-iowa-keoni-t.jpg?rlkey=gsqftbejx2isqxvkafc3d44xk&amp;dl=0","Click to download Image")</f>
      </c>
      <c r="C4081" s="0" t="inlineStr">
        <is>
          <t>Keoni Men's Hawaiian Shirt</t>
        </is>
      </c>
      <c r="D4081" s="1">
        <v>161849</v>
      </c>
      <c r="E4081" s="0" t="inlineStr">
        <is>
          <t>IOWA KEONI M BK:161849B-M</t>
        </is>
      </c>
      <c r="F4081" s="2">
        <v>800161849056</v>
      </c>
      <c r="G4081" s="0" t="inlineStr">
        <is>
          <t>MENS</t>
        </is>
      </c>
      <c r="H4081" s="0" t="inlineStr">
        <is>
          <t>M</t>
        </is>
      </c>
      <c r="I4081" s="0">
        <v>54.99</v>
      </c>
      <c r="J4081" s="0">
        <v>8</v>
      </c>
    </row>
    <row r="4082" spans="1:10" customHeight="0">
      <c r="A4082" s="0">
        <f>HYPERLINK("https://dl.dropboxusercontent.com/scl/fi/4n7ld9yf93ry5xokauclo/161849-iowa-keoni-t.jpg?rlkey=gsqftbejx2isqxvkafc3d44xk&amp;dl=0","Click to download Image")</f>
      </c>
      <c r="C4082" s="0" t="inlineStr">
        <is>
          <t>Keoni Men's Hawaiian Shirt</t>
        </is>
      </c>
      <c r="D4082" s="1">
        <v>161849</v>
      </c>
      <c r="E4082" s="0" t="inlineStr">
        <is>
          <t>IOWA KEONI M BK:161849C-L</t>
        </is>
      </c>
      <c r="F4082" s="2">
        <v>800161849063</v>
      </c>
      <c r="G4082" s="0" t="inlineStr">
        <is>
          <t>MENS</t>
        </is>
      </c>
      <c r="H4082" s="0" t="inlineStr">
        <is>
          <t>L</t>
        </is>
      </c>
      <c r="I4082" s="0">
        <v>54.99</v>
      </c>
      <c r="J4082" s="0">
        <v>18</v>
      </c>
    </row>
    <row r="4083" spans="1:10" customHeight="0">
      <c r="A4083" s="0">
        <f>HYPERLINK("https://dl.dropboxusercontent.com/scl/fi/4n7ld9yf93ry5xokauclo/161849-iowa-keoni-t.jpg?rlkey=gsqftbejx2isqxvkafc3d44xk&amp;dl=0","Click to download Image")</f>
      </c>
      <c r="C4083" s="0" t="inlineStr">
        <is>
          <t>Keoni Men's Hawaiian Shirt</t>
        </is>
      </c>
      <c r="D4083" s="1">
        <v>161849</v>
      </c>
      <c r="E4083" s="0" t="inlineStr">
        <is>
          <t>IOWA KEONI M BK:161849D-XL</t>
        </is>
      </c>
      <c r="F4083" s="2">
        <v>800161849070</v>
      </c>
      <c r="G4083" s="0" t="inlineStr">
        <is>
          <t>MENS</t>
        </is>
      </c>
      <c r="H4083" s="0" t="inlineStr">
        <is>
          <t>XL</t>
        </is>
      </c>
      <c r="I4083" s="0">
        <v>54.99</v>
      </c>
      <c r="J4083" s="0">
        <v>11</v>
      </c>
    </row>
    <row r="4084" spans="1:10" customHeight="0">
      <c r="A4084" s="0">
        <f>HYPERLINK("https://dl.dropboxusercontent.com/scl/fi/4n7ld9yf93ry5xokauclo/161849-iowa-keoni-t.jpg?rlkey=gsqftbejx2isqxvkafc3d44xk&amp;dl=0","Click to download Image")</f>
      </c>
      <c r="C4084" s="0" t="inlineStr">
        <is>
          <t>Keoni Men's Hawaiian Shirt</t>
        </is>
      </c>
      <c r="D4084" s="1">
        <v>161849</v>
      </c>
      <c r="E4084" s="0" t="inlineStr">
        <is>
          <t>IOWA KEONI M BK:161849E-2XL</t>
        </is>
      </c>
      <c r="F4084" s="2">
        <v>800161849087</v>
      </c>
      <c r="G4084" s="0" t="inlineStr">
        <is>
          <t>MENS</t>
        </is>
      </c>
      <c r="H4084" s="0" t="inlineStr">
        <is>
          <t>2XL</t>
        </is>
      </c>
      <c r="I4084" s="0">
        <v>56.99</v>
      </c>
      <c r="J4084" s="0">
        <v>10</v>
      </c>
    </row>
    <row r="4085" spans="1:10" customHeight="0">
      <c r="A4085" s="0">
        <f>HYPERLINK("https://dl.dropboxusercontent.com/scl/fi/4n7ld9yf93ry5xokauclo/161849-iowa-keoni-t.jpg?rlkey=gsqftbejx2isqxvkafc3d44xk&amp;dl=0","Click to download Image")</f>
      </c>
      <c r="C4085" s="0" t="inlineStr">
        <is>
          <t>Keoni Men's Hawaiian Shirt</t>
        </is>
      </c>
      <c r="D4085" s="1">
        <v>161849</v>
      </c>
      <c r="E4085" s="0" t="inlineStr">
        <is>
          <t>IOWA KEONI M BK:161849F-3XL</t>
        </is>
      </c>
      <c r="F4085" s="2">
        <v>800161849094</v>
      </c>
      <c r="G4085" s="0" t="inlineStr">
        <is>
          <t>MENS</t>
        </is>
      </c>
      <c r="H4085" s="0" t="inlineStr">
        <is>
          <t>3XL</t>
        </is>
      </c>
      <c r="I4085" s="0">
        <v>56.99</v>
      </c>
      <c r="J4085" s="0">
        <v>5</v>
      </c>
    </row>
    <row r="4086" spans="1:10" customHeight="0">
      <c r="A4086" s="0">
        <f>HYPERLINK("https://dl.dropboxusercontent.com/scl/fi/4n7ld9yf93ry5xokauclo/161849-iowa-keoni-t.jpg?rlkey=gsqftbejx2isqxvkafc3d44xk&amp;dl=0","Click to download Image")</f>
      </c>
      <c r="C4086" s="0" t="inlineStr">
        <is>
          <t>Keoni Men's Hawaiian Shirt</t>
        </is>
      </c>
      <c r="D4086" s="1">
        <v>161849</v>
      </c>
      <c r="E4086" s="0" t="inlineStr">
        <is>
          <t>IOWA KEONI M BK:161849Z-12PK</t>
        </is>
      </c>
      <c r="F4086" s="2">
        <v>800161849995</v>
      </c>
      <c r="G4086" s="0" t="inlineStr">
        <is>
          <t>MENS</t>
        </is>
      </c>
      <c r="H4086" s="0" t="inlineStr">
        <is>
          <t>12 PACK</t>
        </is>
      </c>
      <c r="I4086" s="0">
        <v>534</v>
      </c>
      <c r="J4086" s="0">
        <v>0</v>
      </c>
    </row>
    <row r="4087" spans="1:10" customHeight="0">
      <c r="A4087" s="0">
        <f>HYPERLINK("https://dl.dropboxusercontent.com/scl/fi/4m17vt2d162cztgrspfee/161851-f26-iowa-t.jpg?rlkey=3o70of7fjfm6zup2x5m1kbhz9&amp;dl=0","Click to download Image")</f>
      </c>
      <c r="C4087" s="0" t="inlineStr">
        <is>
          <t>Rayne Men's Swim Shorts With Liner</t>
        </is>
      </c>
      <c r="D4087" s="1">
        <v>161851</v>
      </c>
      <c r="E4087" s="0" t="inlineStr">
        <is>
          <t>IOWA RAYNE M BK:161851A-S</t>
        </is>
      </c>
      <c r="F4087" s="2">
        <v>800161851011</v>
      </c>
      <c r="G4087" s="0" t="inlineStr">
        <is>
          <t>MENS</t>
        </is>
      </c>
      <c r="H4087" s="0" t="inlineStr">
        <is>
          <t>S</t>
        </is>
      </c>
      <c r="I4087" s="0">
        <v>39.99</v>
      </c>
      <c r="J4087" s="0">
        <v>1</v>
      </c>
    </row>
    <row r="4088" spans="1:10" customHeight="0">
      <c r="A4088" s="0">
        <f>HYPERLINK("https://dl.dropboxusercontent.com/scl/fi/4m17vt2d162cztgrspfee/161851-f26-iowa-t.jpg?rlkey=3o70of7fjfm6zup2x5m1kbhz9&amp;dl=0","Click to download Image")</f>
      </c>
      <c r="C4088" s="0" t="inlineStr">
        <is>
          <t>Rayne Men's Swim Shorts With Liner</t>
        </is>
      </c>
      <c r="D4088" s="1">
        <v>161851</v>
      </c>
      <c r="E4088" s="0" t="inlineStr">
        <is>
          <t>IOWA RAYNE M BK:161851B-M</t>
        </is>
      </c>
      <c r="F4088" s="2">
        <v>800161851028</v>
      </c>
      <c r="G4088" s="0" t="inlineStr">
        <is>
          <t>MENS</t>
        </is>
      </c>
      <c r="H4088" s="0" t="inlineStr">
        <is>
          <t>M</t>
        </is>
      </c>
      <c r="I4088" s="0">
        <v>39.99</v>
      </c>
      <c r="J4088" s="0">
        <v>0</v>
      </c>
    </row>
    <row r="4089" spans="1:10" customHeight="0">
      <c r="A4089" s="0">
        <f>HYPERLINK("https://dl.dropboxusercontent.com/scl/fi/4m17vt2d162cztgrspfee/161851-f26-iowa-t.jpg?rlkey=3o70of7fjfm6zup2x5m1kbhz9&amp;dl=0","Click to download Image")</f>
      </c>
      <c r="C4089" s="0" t="inlineStr">
        <is>
          <t>Rayne Men's Swim Shorts With Liner</t>
        </is>
      </c>
      <c r="D4089" s="1">
        <v>161851</v>
      </c>
      <c r="E4089" s="0" t="inlineStr">
        <is>
          <t>IOWA RAYNE M BK:161851C-L</t>
        </is>
      </c>
      <c r="F4089" s="2">
        <v>800161851035</v>
      </c>
      <c r="G4089" s="0" t="inlineStr">
        <is>
          <t>MENS</t>
        </is>
      </c>
      <c r="H4089" s="0" t="inlineStr">
        <is>
          <t>L</t>
        </is>
      </c>
      <c r="I4089" s="0">
        <v>39.99</v>
      </c>
      <c r="J4089" s="0">
        <v>0</v>
      </c>
    </row>
    <row r="4090" spans="1:10" customHeight="0">
      <c r="A4090" s="0">
        <f>HYPERLINK("https://dl.dropboxusercontent.com/scl/fi/4m17vt2d162cztgrspfee/161851-f26-iowa-t.jpg?rlkey=3o70of7fjfm6zup2x5m1kbhz9&amp;dl=0","Click to download Image")</f>
      </c>
      <c r="C4090" s="0" t="inlineStr">
        <is>
          <t>Rayne Men's Swim Shorts With Liner</t>
        </is>
      </c>
      <c r="D4090" s="1">
        <v>161851</v>
      </c>
      <c r="E4090" s="0" t="inlineStr">
        <is>
          <t>IOWA RAYNE M BK:161851D-XL</t>
        </is>
      </c>
      <c r="F4090" s="2">
        <v>800161851042</v>
      </c>
      <c r="G4090" s="0" t="inlineStr">
        <is>
          <t>MENS</t>
        </is>
      </c>
      <c r="H4090" s="0" t="inlineStr">
        <is>
          <t>XL</t>
        </is>
      </c>
      <c r="I4090" s="0">
        <v>39.99</v>
      </c>
      <c r="J4090" s="0">
        <v>1</v>
      </c>
    </row>
    <row r="4091" spans="1:10" customHeight="0">
      <c r="A4091" s="0">
        <f>HYPERLINK("https://dl.dropboxusercontent.com/scl/fi/4m17vt2d162cztgrspfee/161851-f26-iowa-t.jpg?rlkey=3o70of7fjfm6zup2x5m1kbhz9&amp;dl=0","Click to download Image")</f>
      </c>
      <c r="C4091" s="0" t="inlineStr">
        <is>
          <t>Rayne Men's Swim Shorts With Liner</t>
        </is>
      </c>
      <c r="D4091" s="1">
        <v>161851</v>
      </c>
      <c r="E4091" s="0" t="inlineStr">
        <is>
          <t>IOWA RAYNE M BK:161851E-2XL</t>
        </is>
      </c>
      <c r="F4091" s="2">
        <v>800161851059</v>
      </c>
      <c r="G4091" s="0" t="inlineStr">
        <is>
          <t>MENS</t>
        </is>
      </c>
      <c r="H4091" s="0" t="inlineStr">
        <is>
          <t>2XL</t>
        </is>
      </c>
      <c r="I4091" s="0">
        <v>41.99</v>
      </c>
      <c r="J4091" s="0">
        <v>0</v>
      </c>
    </row>
    <row r="4092" spans="1:10" customHeight="0">
      <c r="A4092" s="0">
        <f>HYPERLINK("https://dl.dropboxusercontent.com/scl/fi/4m17vt2d162cztgrspfee/161851-f26-iowa-t.jpg?rlkey=3o70of7fjfm6zup2x5m1kbhz9&amp;dl=0","Click to download Image")</f>
      </c>
      <c r="C4092" s="0" t="inlineStr">
        <is>
          <t>Rayne Men's Swim Shorts With Liner</t>
        </is>
      </c>
      <c r="D4092" s="1">
        <v>161851</v>
      </c>
      <c r="E4092" s="0" t="inlineStr">
        <is>
          <t>IOWA RAYNE M BK:161851F-3XL</t>
        </is>
      </c>
      <c r="F4092" s="2">
        <v>800161851066</v>
      </c>
      <c r="G4092" s="0" t="inlineStr">
        <is>
          <t>MENS</t>
        </is>
      </c>
      <c r="H4092" s="0" t="inlineStr">
        <is>
          <t>3XL</t>
        </is>
      </c>
      <c r="I4092" s="0">
        <v>41.99</v>
      </c>
      <c r="J4092" s="0">
        <v>1</v>
      </c>
    </row>
    <row r="4093" spans="1:10" customHeight="0">
      <c r="A4093" s="0">
        <f>HYPERLINK("https://dl.dropboxusercontent.com/scl/fi/4m17vt2d162cztgrspfee/161851-f26-iowa-t.jpg?rlkey=3o70of7fjfm6zup2x5m1kbhz9&amp;dl=0","Click to download Image")</f>
      </c>
      <c r="C4093" s="0" t="inlineStr">
        <is>
          <t>Rayne Men's Swim Shorts With Liner</t>
        </is>
      </c>
      <c r="D4093" s="1">
        <v>161851</v>
      </c>
      <c r="E4093" s="0" t="inlineStr">
        <is>
          <t>IOWA RAYNE M BK:161851Z-12PK</t>
        </is>
      </c>
      <c r="F4093" s="2">
        <v>800161851998</v>
      </c>
      <c r="G4093" s="0" t="inlineStr">
        <is>
          <t>MENS</t>
        </is>
      </c>
      <c r="H4093" s="0" t="inlineStr">
        <is>
          <t>12 PACK</t>
        </is>
      </c>
      <c r="I4093" s="0">
        <v>390</v>
      </c>
      <c r="J4093" s="0">
        <v>0</v>
      </c>
    </row>
    <row r="4094" spans="1:10" customHeight="0">
      <c r="A4094" s="0">
        <f>HYPERLINK("https://dl.dropboxusercontent.com/scl/fi/f53t1o6cmaeffeoyon81e/142253-model2.jpg?rlkey=h3gx11odqsq9c3x3bwlcf60oo&amp;dl=0","Click to download Image")</f>
      </c>
      <c r="C4094" s="0" t="inlineStr">
        <is>
          <t>Charter Premium Quilted Travel Bag</t>
        </is>
      </c>
      <c r="D4094" s="1">
        <v>142253</v>
      </c>
      <c r="E4094" s="0" t="inlineStr">
        <is>
          <t>IOWA CHARTER BK:142253</t>
        </is>
      </c>
      <c r="F4094" s="2">
        <v>900142253015</v>
      </c>
      <c r="H4094" s="0" t="inlineStr">
        <is>
          <t>OS</t>
        </is>
      </c>
      <c r="I4094" s="0">
        <v>159.99</v>
      </c>
      <c r="J4094" s="0">
        <v>48</v>
      </c>
    </row>
    <row r="4095" spans="1:10" customHeight="0">
      <c r="A4095" s="0">
        <f>HYPERLINK("https://dl.dropboxusercontent.com/scl/fi/4y8my1j7elsy0nhcsp2dd/162084-iowa-socks-b.jpg?rlkey=c1ni1547lj3dczrr6frywdebt&amp;dl=0","Click to download Image")</f>
      </c>
      <c r="C4095" s="0" t="inlineStr">
        <is>
          <t>Premium Knit Socks</t>
        </is>
      </c>
      <c r="D4095" s="1">
        <v>162084</v>
      </c>
      <c r="E4095" s="0" t="inlineStr">
        <is>
          <t>IOWA SOCK BK:162084</t>
        </is>
      </c>
      <c r="F4095" s="2">
        <v>900162084019</v>
      </c>
      <c r="H4095" s="0" t="inlineStr">
        <is>
          <t>OSFM</t>
        </is>
      </c>
      <c r="I4095" s="0">
        <v>19.99</v>
      </c>
      <c r="J4095" s="0">
        <v>213</v>
      </c>
    </row>
    <row r="4096" spans="1:10" customHeight="0">
      <c r="A4096" s="0">
        <f>HYPERLINK("https://dl.dropboxusercontent.com/scl/fi/p1q3lcggewoffv2i7ispt/162259-t.jpg?rlkey=ca3woep7inwgt8x7gsn81srca&amp;dl=0","Click to download Image")</f>
      </c>
      <c r="C4096" s="0" t="inlineStr">
        <is>
          <t>Keoni Youth Hawaiian Shirt</t>
        </is>
      </c>
      <c r="D4096" s="1">
        <v>162259</v>
      </c>
      <c r="E4096" s="0" t="inlineStr">
        <is>
          <t>IOWA KEONI Y BK:162259B-YS</t>
        </is>
      </c>
      <c r="F4096" s="2">
        <v>800162259014</v>
      </c>
      <c r="G4096" s="0" t="inlineStr">
        <is>
          <t>YOUTH</t>
        </is>
      </c>
      <c r="H4096" s="0" t="inlineStr">
        <is>
          <t>YS</t>
        </is>
      </c>
      <c r="I4096" s="0">
        <v>42.99</v>
      </c>
      <c r="J4096" s="0">
        <v>8</v>
      </c>
    </row>
    <row r="4097" spans="1:10" customHeight="0">
      <c r="A4097" s="0">
        <f>HYPERLINK("https://dl.dropboxusercontent.com/scl/fi/p1q3lcggewoffv2i7ispt/162259-t.jpg?rlkey=ca3woep7inwgt8x7gsn81srca&amp;dl=0","Click to download Image")</f>
      </c>
      <c r="C4097" s="0" t="inlineStr">
        <is>
          <t>Keoni Youth Hawaiian Shirt</t>
        </is>
      </c>
      <c r="D4097" s="1">
        <v>162259</v>
      </c>
      <c r="E4097" s="0" t="inlineStr">
        <is>
          <t>IOWA KEONI Y BK:162259C-YM</t>
        </is>
      </c>
      <c r="F4097" s="2">
        <v>800162259021</v>
      </c>
      <c r="G4097" s="0" t="inlineStr">
        <is>
          <t>YOUTH</t>
        </is>
      </c>
      <c r="H4097" s="0" t="inlineStr">
        <is>
          <t>YM</t>
        </is>
      </c>
      <c r="I4097" s="0">
        <v>42.99</v>
      </c>
      <c r="J4097" s="0">
        <v>9</v>
      </c>
    </row>
    <row r="4098" spans="1:10" customHeight="0">
      <c r="A4098" s="0">
        <f>HYPERLINK("https://dl.dropboxusercontent.com/scl/fi/p1q3lcggewoffv2i7ispt/162259-t.jpg?rlkey=ca3woep7inwgt8x7gsn81srca&amp;dl=0","Click to download Image")</f>
      </c>
      <c r="C4098" s="0" t="inlineStr">
        <is>
          <t>Keoni Youth Hawaiian Shirt</t>
        </is>
      </c>
      <c r="D4098" s="1">
        <v>162259</v>
      </c>
      <c r="E4098" s="0" t="inlineStr">
        <is>
          <t>IOWA KEONI Y BK:162259D-YL</t>
        </is>
      </c>
      <c r="F4098" s="2">
        <v>800162259007</v>
      </c>
      <c r="G4098" s="0" t="inlineStr">
        <is>
          <t>YOUTH</t>
        </is>
      </c>
      <c r="H4098" s="0" t="inlineStr">
        <is>
          <t>YL</t>
        </is>
      </c>
      <c r="I4098" s="0">
        <v>42.99</v>
      </c>
      <c r="J4098" s="0">
        <v>9</v>
      </c>
    </row>
    <row r="4099" spans="1:10" customHeight="0">
      <c r="A4099" s="0">
        <f>HYPERLINK("https://dl.dropboxusercontent.com/scl/fi/p1q3lcggewoffv2i7ispt/162259-t.jpg?rlkey=ca3woep7inwgt8x7gsn81srca&amp;dl=0","Click to download Image")</f>
      </c>
      <c r="C4099" s="0" t="inlineStr">
        <is>
          <t>Keoni Youth Hawaiian Shirt</t>
        </is>
      </c>
      <c r="D4099" s="1">
        <v>162259</v>
      </c>
      <c r="E4099" s="0" t="inlineStr">
        <is>
          <t>IOWA KEONI Y BK:162259E-YXL</t>
        </is>
      </c>
      <c r="F4099" s="2">
        <v>800162259045</v>
      </c>
      <c r="G4099" s="0" t="inlineStr">
        <is>
          <t>YOUTH</t>
        </is>
      </c>
      <c r="H4099" s="0" t="inlineStr">
        <is>
          <t>YXL</t>
        </is>
      </c>
      <c r="I4099" s="0">
        <v>42.99</v>
      </c>
      <c r="J4099" s="0">
        <v>9</v>
      </c>
    </row>
    <row r="4100" spans="1:10" customHeight="0">
      <c r="A4100" s="0">
        <f>HYPERLINK("https://dl.dropboxusercontent.com/scl/fi/p1q3lcggewoffv2i7ispt/162259-t.jpg?rlkey=ca3woep7inwgt8x7gsn81srca&amp;dl=0","Click to download Image")</f>
      </c>
      <c r="C4100" s="0" t="inlineStr">
        <is>
          <t>Keoni Youth Hawaiian Shirt</t>
        </is>
      </c>
      <c r="D4100" s="1">
        <v>162259</v>
      </c>
      <c r="E4100" s="0" t="inlineStr">
        <is>
          <t>IOWA KEONI Y BK:162259Z-12PK</t>
        </is>
      </c>
      <c r="F4100" s="2">
        <v>800161849995</v>
      </c>
      <c r="G4100" s="0" t="inlineStr">
        <is>
          <t>YOUTH</t>
        </is>
      </c>
      <c r="H4100" s="0" t="inlineStr">
        <is>
          <t>12 PACK</t>
        </is>
      </c>
      <c r="I4100" s="0">
        <v>412.8</v>
      </c>
      <c r="J4100" s="0">
        <v>0</v>
      </c>
    </row>
    <row r="4101" spans="1:10" customHeight="0">
      <c r="A4101" s="0">
        <f>HYPERLINK("https://dl.dropboxusercontent.com/scl/fi/u3sjzztkt6a0lx83l9tbc/162259-t.jpg?rlkey=qxd2x37394hhm6ojjvu6nowbi&amp;dl=0","Click to download Image")</f>
      </c>
      <c r="C4101" s="0" t="inlineStr">
        <is>
          <t>Keoni Toddler Hawaiian Shirt</t>
        </is>
      </c>
      <c r="D4101" s="1">
        <v>162260</v>
      </c>
      <c r="E4101" s="0" t="inlineStr">
        <is>
          <t>IOWA KEONI T BK:162260A-2T</t>
        </is>
      </c>
      <c r="F4101" s="2">
        <v>800162260089</v>
      </c>
      <c r="G4101" s="0" t="inlineStr">
        <is>
          <t>TODDLER</t>
        </is>
      </c>
      <c r="H4101" s="0" t="inlineStr">
        <is>
          <t>2T</t>
        </is>
      </c>
      <c r="I4101" s="0">
        <v>42.99</v>
      </c>
      <c r="J4101" s="0">
        <v>6</v>
      </c>
    </row>
    <row r="4102" spans="1:10" customHeight="0">
      <c r="A4102" s="0">
        <f>HYPERLINK("https://dl.dropboxusercontent.com/scl/fi/u3sjzztkt6a0lx83l9tbc/162259-t.jpg?rlkey=qxd2x37394hhm6ojjvu6nowbi&amp;dl=0","Click to download Image")</f>
      </c>
      <c r="C4102" s="0" t="inlineStr">
        <is>
          <t>Keoni Toddler Hawaiian Shirt</t>
        </is>
      </c>
      <c r="D4102" s="1">
        <v>162260</v>
      </c>
      <c r="E4102" s="0" t="inlineStr">
        <is>
          <t>IOWA KEONI T BK:162260B-3T</t>
        </is>
      </c>
      <c r="F4102" s="2">
        <v>800162260096</v>
      </c>
      <c r="G4102" s="0" t="inlineStr">
        <is>
          <t>TODDLER</t>
        </is>
      </c>
      <c r="H4102" s="0" t="inlineStr">
        <is>
          <t>3T</t>
        </is>
      </c>
      <c r="I4102" s="0">
        <v>42.99</v>
      </c>
      <c r="J4102" s="0">
        <v>6</v>
      </c>
    </row>
    <row r="4103" spans="1:10" customHeight="0">
      <c r="A4103" s="0">
        <f>HYPERLINK("https://dl.dropboxusercontent.com/scl/fi/u3sjzztkt6a0lx83l9tbc/162259-t.jpg?rlkey=qxd2x37394hhm6ojjvu6nowbi&amp;dl=0","Click to download Image")</f>
      </c>
      <c r="C4103" s="0" t="inlineStr">
        <is>
          <t>Keoni Toddler Hawaiian Shirt</t>
        </is>
      </c>
      <c r="D4103" s="1">
        <v>162260</v>
      </c>
      <c r="E4103" s="0" t="inlineStr">
        <is>
          <t>IOWA KEONI T BK:162260C-4T</t>
        </is>
      </c>
      <c r="F4103" s="2">
        <v>800162260102</v>
      </c>
      <c r="G4103" s="0" t="inlineStr">
        <is>
          <t>TODDLER</t>
        </is>
      </c>
      <c r="H4103" s="0" t="inlineStr">
        <is>
          <t>4T</t>
        </is>
      </c>
      <c r="I4103" s="0">
        <v>42.99</v>
      </c>
      <c r="J4103" s="0">
        <v>5</v>
      </c>
    </row>
    <row r="4104" spans="1:10" customHeight="0">
      <c r="A4104" s="0">
        <f>HYPERLINK("https://dl.dropboxusercontent.com/scl/fi/u3sjzztkt6a0lx83l9tbc/162259-t.jpg?rlkey=qxd2x37394hhm6ojjvu6nowbi&amp;dl=0","Click to download Image")</f>
      </c>
      <c r="C4104" s="0" t="inlineStr">
        <is>
          <t>Keoni Toddler Hawaiian Shirt</t>
        </is>
      </c>
      <c r="D4104" s="1">
        <v>162260</v>
      </c>
      <c r="E4104" s="0" t="inlineStr">
        <is>
          <t>IOWA KEONI T BK:162260D-5T</t>
        </is>
      </c>
      <c r="F4104" s="2">
        <v>800162260119</v>
      </c>
      <c r="G4104" s="0" t="inlineStr">
        <is>
          <t>TODDLER</t>
        </is>
      </c>
      <c r="H4104" s="0" t="inlineStr">
        <is>
          <t>5T</t>
        </is>
      </c>
      <c r="I4104" s="0">
        <v>42.99</v>
      </c>
      <c r="J4104" s="0">
        <v>9</v>
      </c>
    </row>
    <row r="4105" spans="1:10" customHeight="0">
      <c r="A4105" s="0">
        <f>HYPERLINK("https://dl.dropboxusercontent.com/scl/fi/u3sjzztkt6a0lx83l9tbc/162259-t.jpg?rlkey=qxd2x37394hhm6ojjvu6nowbi&amp;dl=0","Click to download Image")</f>
      </c>
      <c r="C4105" s="0" t="inlineStr">
        <is>
          <t>Keoni Toddler Hawaiian Shirt</t>
        </is>
      </c>
      <c r="D4105" s="1">
        <v>162260</v>
      </c>
      <c r="E4105" s="0" t="inlineStr">
        <is>
          <t>IOWA KEONI T BK:162260Z-12PK</t>
        </is>
      </c>
      <c r="F4105" s="2">
        <v>800161849995</v>
      </c>
      <c r="G4105" s="0" t="inlineStr">
        <is>
          <t>TODDLER</t>
        </is>
      </c>
      <c r="H4105" s="0" t="inlineStr">
        <is>
          <t>12 PACK</t>
        </is>
      </c>
      <c r="I4105" s="0">
        <v>412.8</v>
      </c>
      <c r="J4105" s="0">
        <v>0</v>
      </c>
    </row>
    <row r="4106" spans="1:10" customHeight="0">
      <c r="A4106" s="0">
        <f>HYPERLINK("https://dl.dropboxusercontent.com/scl/fi/wgsznbo69nwknqxbhhu3l/162205-iowa-f.jpg?rlkey=yc4faqolcosoj3h52h4whhyo0&amp;dl=0","Click to download Image")</f>
      </c>
      <c r="C4106" s="0" t="inlineStr">
        <is>
          <t>Dove Women's Beanie - Sherpa Lined</t>
        </is>
      </c>
      <c r="D4106" s="1">
        <v>162205</v>
      </c>
      <c r="E4106" s="0" t="inlineStr">
        <is>
          <t>IOWA DOVE W BK:162205</t>
        </is>
      </c>
      <c r="F4106" s="2">
        <v>700162205014</v>
      </c>
      <c r="G4106" s="0" t="inlineStr">
        <is>
          <t>WOMENS</t>
        </is>
      </c>
      <c r="H4106" s="0" t="inlineStr">
        <is>
          <t>ADULT</t>
        </is>
      </c>
      <c r="I4106" s="0">
        <v>29.99</v>
      </c>
      <c r="J4106" s="0">
        <v>29</v>
      </c>
    </row>
    <row r="4107" spans="1:10" customHeight="0">
      <c r="A4107" s="0">
        <f>HYPERLINK("https://dl.dropboxusercontent.com/scl/fi/z93zims3l8pgqb9hodfur/162086-iowa-teddy-bear-f.jpg?rlkey=fcdfgc2yxs6drbksbtndc2yu8&amp;dl=0","Click to download Image")</f>
      </c>
      <c r="C4107" s="0" t="inlineStr">
        <is>
          <t>Plush Teddy Bear</t>
        </is>
      </c>
      <c r="D4107" s="1">
        <v>162086</v>
      </c>
      <c r="E4107" s="0" t="inlineStr">
        <is>
          <t>IOWA BEAR BN:162086</t>
        </is>
      </c>
      <c r="F4107" s="2">
        <v>900162086013</v>
      </c>
      <c r="H4107" s="0" t="inlineStr">
        <is>
          <t>ONE SIZE</t>
        </is>
      </c>
      <c r="I4107" s="0">
        <v>24.99</v>
      </c>
      <c r="J4107" s="0">
        <v>192</v>
      </c>
    </row>
    <row r="4108" spans="1:10" customHeight="0">
      <c r="A4108" s="0">
        <f>HYPERLINK("https://dl.dropboxusercontent.com/scl/fi/zbvl19aouevissvcet0kr/alpine-cms-06.jpg?rlkey=6k4ku2m9m5woxdbua796luaiu&amp;dl=0","Click to download Image")</f>
      </c>
      <c r="B4108" s="0">
        <f>HYPERLINK("https://dl.dropboxusercontent.com/scl/fi/85a99t4ubippbh2kooarz/mensslate-cason-axis-chase-kaden-ss.jpg?rlkey=1yfv1782mli5v1bfs24w73o3c&amp;dl=0","Click to download SizeChart")</f>
      </c>
      <c r="C4108" s="0" t="inlineStr">
        <is>
          <t>Alpine Men's Short Sleeve Shirt</t>
        </is>
      </c>
      <c r="D4108" s="1">
        <v>161010</v>
      </c>
      <c r="E4108" s="0" t="inlineStr">
        <is>
          <t>IOWA ALPINE M HG:161010A-S</t>
        </is>
      </c>
      <c r="F4108" s="2">
        <v>800161010043</v>
      </c>
      <c r="G4108" s="0" t="inlineStr">
        <is>
          <t>MENS</t>
        </is>
      </c>
      <c r="H4108" s="0" t="inlineStr">
        <is>
          <t>S</t>
        </is>
      </c>
      <c r="I4108" s="0">
        <v>29.99</v>
      </c>
      <c r="J4108" s="0">
        <v>1</v>
      </c>
    </row>
    <row r="4109" spans="1:10" customHeight="0">
      <c r="A4109" s="0">
        <f>HYPERLINK("https://dl.dropboxusercontent.com/scl/fi/zbvl19aouevissvcet0kr/alpine-cms-06.jpg?rlkey=6k4ku2m9m5woxdbua796luaiu&amp;dl=0","Click to download Image")</f>
      </c>
      <c r="B4109" s="0">
        <f>HYPERLINK("https://dl.dropboxusercontent.com/scl/fi/85a99t4ubippbh2kooarz/mensslate-cason-axis-chase-kaden-ss.jpg?rlkey=1yfv1782mli5v1bfs24w73o3c&amp;dl=0","Click to download SizeChart")</f>
      </c>
      <c r="C4109" s="0" t="inlineStr">
        <is>
          <t>Alpine Men's Short Sleeve Shirt</t>
        </is>
      </c>
      <c r="D4109" s="1">
        <v>161010</v>
      </c>
      <c r="E4109" s="0" t="inlineStr">
        <is>
          <t>IOWA ALPINE M HG:161010B-M</t>
        </is>
      </c>
      <c r="F4109" s="2">
        <v>800161010050</v>
      </c>
      <c r="G4109" s="0" t="inlineStr">
        <is>
          <t>MENS</t>
        </is>
      </c>
      <c r="H4109" s="0" t="inlineStr">
        <is>
          <t>M</t>
        </is>
      </c>
      <c r="I4109" s="0">
        <v>29.99</v>
      </c>
      <c r="J4109" s="0">
        <v>2</v>
      </c>
    </row>
    <row r="4110" spans="1:10" customHeight="0">
      <c r="A4110" s="0">
        <f>HYPERLINK("https://dl.dropboxusercontent.com/scl/fi/zbvl19aouevissvcet0kr/alpine-cms-06.jpg?rlkey=6k4ku2m9m5woxdbua796luaiu&amp;dl=0","Click to download Image")</f>
      </c>
      <c r="B4110" s="0">
        <f>HYPERLINK("https://dl.dropboxusercontent.com/scl/fi/85a99t4ubippbh2kooarz/mensslate-cason-axis-chase-kaden-ss.jpg?rlkey=1yfv1782mli5v1bfs24w73o3c&amp;dl=0","Click to download SizeChart")</f>
      </c>
      <c r="C4110" s="0" t="inlineStr">
        <is>
          <t>Alpine Men's Short Sleeve Shirt</t>
        </is>
      </c>
      <c r="D4110" s="1">
        <v>161010</v>
      </c>
      <c r="E4110" s="0" t="inlineStr">
        <is>
          <t>IOWA ALPINE M HG:161010C-L</t>
        </is>
      </c>
      <c r="F4110" s="2">
        <v>800161010067</v>
      </c>
      <c r="G4110" s="0" t="inlineStr">
        <is>
          <t>MENS</t>
        </is>
      </c>
      <c r="H4110" s="0" t="inlineStr">
        <is>
          <t>L</t>
        </is>
      </c>
      <c r="I4110" s="0">
        <v>29.99</v>
      </c>
      <c r="J4110" s="0">
        <v>3</v>
      </c>
    </row>
    <row r="4111" spans="1:10" customHeight="0">
      <c r="A4111" s="0">
        <f>HYPERLINK("https://dl.dropboxusercontent.com/scl/fi/zbvl19aouevissvcet0kr/alpine-cms-06.jpg?rlkey=6k4ku2m9m5woxdbua796luaiu&amp;dl=0","Click to download Image")</f>
      </c>
      <c r="B4111" s="0">
        <f>HYPERLINK("https://dl.dropboxusercontent.com/scl/fi/85a99t4ubippbh2kooarz/mensslate-cason-axis-chase-kaden-ss.jpg?rlkey=1yfv1782mli5v1bfs24w73o3c&amp;dl=0","Click to download SizeChart")</f>
      </c>
      <c r="C4111" s="0" t="inlineStr">
        <is>
          <t>Alpine Men's Short Sleeve Shirt</t>
        </is>
      </c>
      <c r="D4111" s="1">
        <v>161010</v>
      </c>
      <c r="E4111" s="0" t="inlineStr">
        <is>
          <t>IOWA ALPINE M HG:161010D-XL</t>
        </is>
      </c>
      <c r="F4111" s="2">
        <v>800161010074</v>
      </c>
      <c r="G4111" s="0" t="inlineStr">
        <is>
          <t>MENS</t>
        </is>
      </c>
      <c r="H4111" s="0" t="inlineStr">
        <is>
          <t>XL</t>
        </is>
      </c>
      <c r="I4111" s="0">
        <v>29.99</v>
      </c>
      <c r="J4111" s="0">
        <v>3</v>
      </c>
    </row>
    <row r="4112" spans="1:10" customHeight="0">
      <c r="A4112" s="0">
        <f>HYPERLINK("https://dl.dropboxusercontent.com/scl/fi/zbvl19aouevissvcet0kr/alpine-cms-06.jpg?rlkey=6k4ku2m9m5woxdbua796luaiu&amp;dl=0","Click to download Image")</f>
      </c>
      <c r="B4112" s="0">
        <f>HYPERLINK("https://dl.dropboxusercontent.com/scl/fi/85a99t4ubippbh2kooarz/mensslate-cason-axis-chase-kaden-ss.jpg?rlkey=1yfv1782mli5v1bfs24w73o3c&amp;dl=0","Click to download SizeChart")</f>
      </c>
      <c r="C4112" s="0" t="inlineStr">
        <is>
          <t>Alpine Men's Short Sleeve Shirt</t>
        </is>
      </c>
      <c r="D4112" s="1">
        <v>161010</v>
      </c>
      <c r="E4112" s="0" t="inlineStr">
        <is>
          <t>IOWA ALPINE M HG:161010E-2XL</t>
        </is>
      </c>
      <c r="F4112" s="2">
        <v>800161010081</v>
      </c>
      <c r="G4112" s="0" t="inlineStr">
        <is>
          <t>MENS</t>
        </is>
      </c>
      <c r="H4112" s="0" t="inlineStr">
        <is>
          <t>2XL</t>
        </is>
      </c>
      <c r="I4112" s="0">
        <v>29.99</v>
      </c>
      <c r="J4112" s="0">
        <v>3</v>
      </c>
    </row>
    <row r="4113" spans="1:10" customHeight="0">
      <c r="A4113" s="0">
        <f>HYPERLINK("https://dl.dropboxusercontent.com/scl/fi/zbvl19aouevissvcet0kr/alpine-cms-06.jpg?rlkey=6k4ku2m9m5woxdbua796luaiu&amp;dl=0","Click to download Image")</f>
      </c>
      <c r="B4113" s="0">
        <f>HYPERLINK("https://dl.dropboxusercontent.com/scl/fi/85a99t4ubippbh2kooarz/mensslate-cason-axis-chase-kaden-ss.jpg?rlkey=1yfv1782mli5v1bfs24w73o3c&amp;dl=0","Click to download SizeChart")</f>
      </c>
      <c r="C4113" s="0" t="inlineStr">
        <is>
          <t>Alpine Men's Short Sleeve Shirt</t>
        </is>
      </c>
      <c r="D4113" s="1">
        <v>161010</v>
      </c>
      <c r="E4113" s="0" t="inlineStr">
        <is>
          <t>IOWA ALPINE M HG:161010F-3XL</t>
        </is>
      </c>
      <c r="F4113" s="2">
        <v>800161010098</v>
      </c>
      <c r="G4113" s="0" t="inlineStr">
        <is>
          <t>MENS</t>
        </is>
      </c>
      <c r="H4113" s="0" t="inlineStr">
        <is>
          <t>3XL</t>
        </is>
      </c>
      <c r="I4113" s="0">
        <v>29.99</v>
      </c>
      <c r="J4113" s="0">
        <v>1</v>
      </c>
    </row>
    <row r="4114" spans="1:10" customHeight="0">
      <c r="A4114" s="0">
        <f>HYPERLINK("https://dl.dropboxusercontent.com/scl/fi/i5snqp2tnofbjbhn3fp8l/alpine-cms-05.jpg?rlkey=hlf8scitkvdwxm0cddb7hv7rk&amp;dl=0","Click to download Image")</f>
      </c>
      <c r="B4114" s="0">
        <f>HYPERLINK("https://dl.dropboxusercontent.com/scl/fi/85a99t4ubippbh2kooarz/mensslate-cason-axis-chase-kaden-ss.jpg?rlkey=1yfv1782mli5v1bfs24w73o3c&amp;dl=0","Click to download SizeChart")</f>
      </c>
      <c r="C4114" s="0" t="inlineStr">
        <is>
          <t>Alpine Men's Short Sleeve Shirt</t>
        </is>
      </c>
      <c r="D4114" s="1">
        <v>161009</v>
      </c>
      <c r="E4114" s="0" t="inlineStr">
        <is>
          <t>IOWA ALPINE M GD:161009A-S</t>
        </is>
      </c>
      <c r="F4114" s="2">
        <v>800161009047</v>
      </c>
      <c r="G4114" s="0" t="inlineStr">
        <is>
          <t>MENS</t>
        </is>
      </c>
      <c r="H4114" s="0" t="inlineStr">
        <is>
          <t>S</t>
        </is>
      </c>
      <c r="I4114" s="0">
        <v>29.99</v>
      </c>
      <c r="J4114" s="0">
        <v>4</v>
      </c>
    </row>
    <row r="4115" spans="1:10" customHeight="0">
      <c r="A4115" s="0">
        <f>HYPERLINK("https://dl.dropboxusercontent.com/scl/fi/i5snqp2tnofbjbhn3fp8l/alpine-cms-05.jpg?rlkey=hlf8scitkvdwxm0cddb7hv7rk&amp;dl=0","Click to download Image")</f>
      </c>
      <c r="B4115" s="0">
        <f>HYPERLINK("https://dl.dropboxusercontent.com/scl/fi/85a99t4ubippbh2kooarz/mensslate-cason-axis-chase-kaden-ss.jpg?rlkey=1yfv1782mli5v1bfs24w73o3c&amp;dl=0","Click to download SizeChart")</f>
      </c>
      <c r="C4115" s="0" t="inlineStr">
        <is>
          <t>Alpine Men's Short Sleeve Shirt</t>
        </is>
      </c>
      <c r="D4115" s="1">
        <v>161009</v>
      </c>
      <c r="E4115" s="0" t="inlineStr">
        <is>
          <t>IOWA ALPINE M GD:161009B-M</t>
        </is>
      </c>
      <c r="F4115" s="2">
        <v>800161009054</v>
      </c>
      <c r="G4115" s="0" t="inlineStr">
        <is>
          <t>MENS</t>
        </is>
      </c>
      <c r="H4115" s="0" t="inlineStr">
        <is>
          <t>M</t>
        </is>
      </c>
      <c r="I4115" s="0">
        <v>29.99</v>
      </c>
      <c r="J4115" s="0">
        <v>6</v>
      </c>
    </row>
    <row r="4116" spans="1:10" customHeight="0">
      <c r="A4116" s="0">
        <f>HYPERLINK("https://dl.dropboxusercontent.com/scl/fi/i5snqp2tnofbjbhn3fp8l/alpine-cms-05.jpg?rlkey=hlf8scitkvdwxm0cddb7hv7rk&amp;dl=0","Click to download Image")</f>
      </c>
      <c r="B4116" s="0">
        <f>HYPERLINK("https://dl.dropboxusercontent.com/scl/fi/85a99t4ubippbh2kooarz/mensslate-cason-axis-chase-kaden-ss.jpg?rlkey=1yfv1782mli5v1bfs24w73o3c&amp;dl=0","Click to download SizeChart")</f>
      </c>
      <c r="C4116" s="0" t="inlineStr">
        <is>
          <t>Alpine Men's Short Sleeve Shirt</t>
        </is>
      </c>
      <c r="D4116" s="1">
        <v>161009</v>
      </c>
      <c r="E4116" s="0" t="inlineStr">
        <is>
          <t>IOWA ALPINE M GD:161009C-L</t>
        </is>
      </c>
      <c r="F4116" s="2">
        <v>800161009061</v>
      </c>
      <c r="G4116" s="0" t="inlineStr">
        <is>
          <t>MENS</t>
        </is>
      </c>
      <c r="H4116" s="0" t="inlineStr">
        <is>
          <t>L</t>
        </is>
      </c>
      <c r="I4116" s="0">
        <v>29.99</v>
      </c>
      <c r="J4116" s="0">
        <v>10</v>
      </c>
    </row>
    <row r="4117" spans="1:10" customHeight="0">
      <c r="A4117" s="0">
        <f>HYPERLINK("https://dl.dropboxusercontent.com/scl/fi/i5snqp2tnofbjbhn3fp8l/alpine-cms-05.jpg?rlkey=hlf8scitkvdwxm0cddb7hv7rk&amp;dl=0","Click to download Image")</f>
      </c>
      <c r="B4117" s="0">
        <f>HYPERLINK("https://dl.dropboxusercontent.com/scl/fi/85a99t4ubippbh2kooarz/mensslate-cason-axis-chase-kaden-ss.jpg?rlkey=1yfv1782mli5v1bfs24w73o3c&amp;dl=0","Click to download SizeChart")</f>
      </c>
      <c r="C4117" s="0" t="inlineStr">
        <is>
          <t>Alpine Men's Short Sleeve Shirt</t>
        </is>
      </c>
      <c r="D4117" s="1">
        <v>161009</v>
      </c>
      <c r="E4117" s="0" t="inlineStr">
        <is>
          <t>IOWA ALPINE M GD:161009D-XL</t>
        </is>
      </c>
      <c r="F4117" s="2">
        <v>800161009078</v>
      </c>
      <c r="G4117" s="0" t="inlineStr">
        <is>
          <t>MENS</t>
        </is>
      </c>
      <c r="H4117" s="0" t="inlineStr">
        <is>
          <t>XL</t>
        </is>
      </c>
      <c r="I4117" s="0">
        <v>29.99</v>
      </c>
      <c r="J4117" s="0">
        <v>10</v>
      </c>
    </row>
    <row r="4118" spans="1:10" customHeight="0">
      <c r="A4118" s="0">
        <f>HYPERLINK("https://dl.dropboxusercontent.com/scl/fi/i5snqp2tnofbjbhn3fp8l/alpine-cms-05.jpg?rlkey=hlf8scitkvdwxm0cddb7hv7rk&amp;dl=0","Click to download Image")</f>
      </c>
      <c r="B4118" s="0">
        <f>HYPERLINK("https://dl.dropboxusercontent.com/scl/fi/85a99t4ubippbh2kooarz/mensslate-cason-axis-chase-kaden-ss.jpg?rlkey=1yfv1782mli5v1bfs24w73o3c&amp;dl=0","Click to download SizeChart")</f>
      </c>
      <c r="C4118" s="0" t="inlineStr">
        <is>
          <t>Alpine Men's Short Sleeve Shirt</t>
        </is>
      </c>
      <c r="D4118" s="1">
        <v>161009</v>
      </c>
      <c r="E4118" s="0" t="inlineStr">
        <is>
          <t>IOWA ALPINE M GD:161009E-2XL</t>
        </is>
      </c>
      <c r="F4118" s="2">
        <v>800161009085</v>
      </c>
      <c r="G4118" s="0" t="inlineStr">
        <is>
          <t>MENS</t>
        </is>
      </c>
      <c r="H4118" s="0" t="inlineStr">
        <is>
          <t>2XL</t>
        </is>
      </c>
      <c r="I4118" s="0">
        <v>29.99</v>
      </c>
      <c r="J4118" s="0">
        <v>8</v>
      </c>
    </row>
    <row r="4119" spans="1:10" customHeight="0">
      <c r="A4119" s="0">
        <f>HYPERLINK("https://dl.dropboxusercontent.com/scl/fi/i5snqp2tnofbjbhn3fp8l/alpine-cms-05.jpg?rlkey=hlf8scitkvdwxm0cddb7hv7rk&amp;dl=0","Click to download Image")</f>
      </c>
      <c r="B4119" s="0">
        <f>HYPERLINK("https://dl.dropboxusercontent.com/scl/fi/85a99t4ubippbh2kooarz/mensslate-cason-axis-chase-kaden-ss.jpg?rlkey=1yfv1782mli5v1bfs24w73o3c&amp;dl=0","Click to download SizeChart")</f>
      </c>
      <c r="C4119" s="0" t="inlineStr">
        <is>
          <t>Alpine Men's Short Sleeve Shirt</t>
        </is>
      </c>
      <c r="D4119" s="1">
        <v>161009</v>
      </c>
      <c r="E4119" s="0" t="inlineStr">
        <is>
          <t>IOWA ALPINE M GD:161009F-3XL</t>
        </is>
      </c>
      <c r="F4119" s="2">
        <v>800161009092</v>
      </c>
      <c r="G4119" s="0" t="inlineStr">
        <is>
          <t>MENS</t>
        </is>
      </c>
      <c r="H4119" s="0" t="inlineStr">
        <is>
          <t>3XL</t>
        </is>
      </c>
      <c r="I4119" s="0">
        <v>29.99</v>
      </c>
      <c r="J4119" s="0">
        <v>4</v>
      </c>
    </row>
    <row r="4120" spans="1:10" customHeight="0">
      <c r="A4120" s="0">
        <f>HYPERLINK("https://dl.dropboxusercontent.com/scl/fi/26amxopj17pwq6datdftf/alpine-cms-04.jpg?rlkey=qpruwcbgi758a31181m5of47c&amp;dl=0","Click to download Image")</f>
      </c>
      <c r="B4120" s="0">
        <f>HYPERLINK("https://dl.dropboxusercontent.com/scl/fi/85a99t4ubippbh2kooarz/mensslate-cason-axis-chase-kaden-ss.jpg?rlkey=1yfv1782mli5v1bfs24w73o3c&amp;dl=0","Click to download SizeChart")</f>
      </c>
      <c r="C4120" s="0" t="inlineStr">
        <is>
          <t>Alpine Men's Short Sleeve Shirt</t>
        </is>
      </c>
      <c r="D4120" s="1">
        <v>161008</v>
      </c>
      <c r="E4120" s="0" t="inlineStr">
        <is>
          <t>IOWA ALPINE M BK:161008A-S</t>
        </is>
      </c>
      <c r="F4120" s="2">
        <v>800161008040</v>
      </c>
      <c r="G4120" s="0" t="inlineStr">
        <is>
          <t>MENS</t>
        </is>
      </c>
      <c r="H4120" s="0" t="inlineStr">
        <is>
          <t>S</t>
        </is>
      </c>
      <c r="I4120" s="0">
        <v>29.99</v>
      </c>
      <c r="J4120" s="0">
        <v>4</v>
      </c>
    </row>
    <row r="4121" spans="1:10" customHeight="0">
      <c r="A4121" s="0">
        <f>HYPERLINK("https://dl.dropboxusercontent.com/scl/fi/26amxopj17pwq6datdftf/alpine-cms-04.jpg?rlkey=qpruwcbgi758a31181m5of47c&amp;dl=0","Click to download Image")</f>
      </c>
      <c r="B4121" s="0">
        <f>HYPERLINK("https://dl.dropboxusercontent.com/scl/fi/85a99t4ubippbh2kooarz/mensslate-cason-axis-chase-kaden-ss.jpg?rlkey=1yfv1782mli5v1bfs24w73o3c&amp;dl=0","Click to download SizeChart")</f>
      </c>
      <c r="C4121" s="0" t="inlineStr">
        <is>
          <t>Alpine Men's Short Sleeve Shirt</t>
        </is>
      </c>
      <c r="D4121" s="1">
        <v>161008</v>
      </c>
      <c r="E4121" s="0" t="inlineStr">
        <is>
          <t>IOWA ALPINE M BK:161008B-M</t>
        </is>
      </c>
      <c r="F4121" s="2">
        <v>800161008057</v>
      </c>
      <c r="G4121" s="0" t="inlineStr">
        <is>
          <t>MENS</t>
        </is>
      </c>
      <c r="H4121" s="0" t="inlineStr">
        <is>
          <t>M</t>
        </is>
      </c>
      <c r="I4121" s="0">
        <v>29.99</v>
      </c>
      <c r="J4121" s="0">
        <v>5</v>
      </c>
    </row>
    <row r="4122" spans="1:10" customHeight="0">
      <c r="A4122" s="0">
        <f>HYPERLINK("https://dl.dropboxusercontent.com/scl/fi/26amxopj17pwq6datdftf/alpine-cms-04.jpg?rlkey=qpruwcbgi758a31181m5of47c&amp;dl=0","Click to download Image")</f>
      </c>
      <c r="B4122" s="0">
        <f>HYPERLINK("https://dl.dropboxusercontent.com/scl/fi/85a99t4ubippbh2kooarz/mensslate-cason-axis-chase-kaden-ss.jpg?rlkey=1yfv1782mli5v1bfs24w73o3c&amp;dl=0","Click to download SizeChart")</f>
      </c>
      <c r="C4122" s="0" t="inlineStr">
        <is>
          <t>Alpine Men's Short Sleeve Shirt</t>
        </is>
      </c>
      <c r="D4122" s="1">
        <v>161008</v>
      </c>
      <c r="E4122" s="0" t="inlineStr">
        <is>
          <t>IOWA ALPINE M BK:161008C-L</t>
        </is>
      </c>
      <c r="F4122" s="2">
        <v>800161008064</v>
      </c>
      <c r="G4122" s="0" t="inlineStr">
        <is>
          <t>MENS</t>
        </is>
      </c>
      <c r="H4122" s="0" t="inlineStr">
        <is>
          <t>L</t>
        </is>
      </c>
      <c r="I4122" s="0">
        <v>29.99</v>
      </c>
      <c r="J4122" s="0">
        <v>6</v>
      </c>
    </row>
    <row r="4123" spans="1:10" customHeight="0">
      <c r="A4123" s="0">
        <f>HYPERLINK("https://dl.dropboxusercontent.com/scl/fi/26amxopj17pwq6datdftf/alpine-cms-04.jpg?rlkey=qpruwcbgi758a31181m5of47c&amp;dl=0","Click to download Image")</f>
      </c>
      <c r="B4123" s="0">
        <f>HYPERLINK("https://dl.dropboxusercontent.com/scl/fi/85a99t4ubippbh2kooarz/mensslate-cason-axis-chase-kaden-ss.jpg?rlkey=1yfv1782mli5v1bfs24w73o3c&amp;dl=0","Click to download SizeChart")</f>
      </c>
      <c r="C4123" s="0" t="inlineStr">
        <is>
          <t>Alpine Men's Short Sleeve Shirt</t>
        </is>
      </c>
      <c r="D4123" s="1">
        <v>161008</v>
      </c>
      <c r="E4123" s="0" t="inlineStr">
        <is>
          <t>IOWA ALPINE M BK:161008D-XL</t>
        </is>
      </c>
      <c r="F4123" s="2">
        <v>800161008071</v>
      </c>
      <c r="G4123" s="0" t="inlineStr">
        <is>
          <t>MENS</t>
        </is>
      </c>
      <c r="H4123" s="0" t="inlineStr">
        <is>
          <t>XL</t>
        </is>
      </c>
      <c r="I4123" s="0">
        <v>29.99</v>
      </c>
      <c r="J4123" s="0">
        <v>8</v>
      </c>
    </row>
    <row r="4124" spans="1:10" customHeight="0">
      <c r="A4124" s="0">
        <f>HYPERLINK("https://dl.dropboxusercontent.com/scl/fi/26amxopj17pwq6datdftf/alpine-cms-04.jpg?rlkey=qpruwcbgi758a31181m5of47c&amp;dl=0","Click to download Image")</f>
      </c>
      <c r="B4124" s="0">
        <f>HYPERLINK("https://dl.dropboxusercontent.com/scl/fi/85a99t4ubippbh2kooarz/mensslate-cason-axis-chase-kaden-ss.jpg?rlkey=1yfv1782mli5v1bfs24w73o3c&amp;dl=0","Click to download SizeChart")</f>
      </c>
      <c r="C4124" s="0" t="inlineStr">
        <is>
          <t>Alpine Men's Short Sleeve Shirt</t>
        </is>
      </c>
      <c r="D4124" s="1">
        <v>161008</v>
      </c>
      <c r="E4124" s="0" t="inlineStr">
        <is>
          <t>IOWA ALPINE M BK:161008E-2XL</t>
        </is>
      </c>
      <c r="F4124" s="2">
        <v>800161008088</v>
      </c>
      <c r="G4124" s="0" t="inlineStr">
        <is>
          <t>MENS</t>
        </is>
      </c>
      <c r="H4124" s="0" t="inlineStr">
        <is>
          <t>2XL</t>
        </is>
      </c>
      <c r="I4124" s="0">
        <v>29.99</v>
      </c>
      <c r="J4124" s="0">
        <v>7</v>
      </c>
    </row>
    <row r="4125" spans="1:10" customHeight="0">
      <c r="A4125" s="0">
        <f>HYPERLINK("https://dl.dropboxusercontent.com/scl/fi/26amxopj17pwq6datdftf/alpine-cms-04.jpg?rlkey=qpruwcbgi758a31181m5of47c&amp;dl=0","Click to download Image")</f>
      </c>
      <c r="B4125" s="0">
        <f>HYPERLINK("https://dl.dropboxusercontent.com/scl/fi/85a99t4ubippbh2kooarz/mensslate-cason-axis-chase-kaden-ss.jpg?rlkey=1yfv1782mli5v1bfs24w73o3c&amp;dl=0","Click to download SizeChart")</f>
      </c>
      <c r="C4125" s="0" t="inlineStr">
        <is>
          <t>Alpine Men's Short Sleeve Shirt</t>
        </is>
      </c>
      <c r="D4125" s="1">
        <v>161008</v>
      </c>
      <c r="E4125" s="0" t="inlineStr">
        <is>
          <t>IOWA ALPINE M BK:161008F-3XL</t>
        </is>
      </c>
      <c r="F4125" s="2">
        <v>800161008095</v>
      </c>
      <c r="G4125" s="0" t="inlineStr">
        <is>
          <t>MENS</t>
        </is>
      </c>
      <c r="H4125" s="0" t="inlineStr">
        <is>
          <t>3XL</t>
        </is>
      </c>
      <c r="I4125" s="0">
        <v>29.99</v>
      </c>
      <c r="J4125" s="0">
        <v>3</v>
      </c>
    </row>
    <row r="4126" spans="1:10" customHeight="0">
      <c r="A4126" s="0">
        <f>HYPERLINK("https://dl.dropboxusercontent.com/scl/fi/88srk9buaaaenlev49owq/161013-iowa-adam-mens-t.jpg?rlkey=xkpx7emv20aj8hzeqhvpc9ks8&amp;dl=0","Click to download Image")</f>
      </c>
      <c r="B4126" s="0">
        <f>HYPERLINK("https://dl.dropboxusercontent.com/scl/fi/q6uv4lpdzv9wte9pxp9so/mens-t-shirt-size-chartscason-slate-ls.jpg?rlkey=srl1s80wym2pvc0dauicrvgac&amp;dl=0","Click to download SizeChart")</f>
      </c>
      <c r="C4126" s="0" t="inlineStr">
        <is>
          <t>Adams Men's Long Sleeve Shirt</t>
        </is>
      </c>
      <c r="D4126" s="1">
        <v>161013</v>
      </c>
      <c r="E4126" s="0" t="inlineStr">
        <is>
          <t>IOWA ADAMS M HG:161013A-S</t>
        </is>
      </c>
      <c r="F4126" s="2">
        <v>800161013044</v>
      </c>
      <c r="G4126" s="0" t="inlineStr">
        <is>
          <t>MENS</t>
        </is>
      </c>
      <c r="H4126" s="0" t="inlineStr">
        <is>
          <t>S</t>
        </is>
      </c>
      <c r="I4126" s="0">
        <v>32.99</v>
      </c>
      <c r="J4126" s="0">
        <v>4</v>
      </c>
    </row>
    <row r="4127" spans="1:10" customHeight="0">
      <c r="A4127" s="0">
        <f>HYPERLINK("https://dl.dropboxusercontent.com/scl/fi/88srk9buaaaenlev49owq/161013-iowa-adam-mens-t.jpg?rlkey=xkpx7emv20aj8hzeqhvpc9ks8&amp;dl=0","Click to download Image")</f>
      </c>
      <c r="B4127" s="0">
        <f>HYPERLINK("https://dl.dropboxusercontent.com/scl/fi/q6uv4lpdzv9wte9pxp9so/mens-t-shirt-size-chartscason-slate-ls.jpg?rlkey=srl1s80wym2pvc0dauicrvgac&amp;dl=0","Click to download SizeChart")</f>
      </c>
      <c r="C4127" s="0" t="inlineStr">
        <is>
          <t>Adams Men's Long Sleeve Shirt</t>
        </is>
      </c>
      <c r="D4127" s="1">
        <v>161013</v>
      </c>
      <c r="E4127" s="0" t="inlineStr">
        <is>
          <t>IOWA ADAMS M HG:161013B-M</t>
        </is>
      </c>
      <c r="F4127" s="2">
        <v>800161013051</v>
      </c>
      <c r="G4127" s="0" t="inlineStr">
        <is>
          <t>MENS</t>
        </is>
      </c>
      <c r="H4127" s="0" t="inlineStr">
        <is>
          <t>M</t>
        </is>
      </c>
      <c r="I4127" s="0">
        <v>32.99</v>
      </c>
      <c r="J4127" s="0">
        <v>6</v>
      </c>
    </row>
    <row r="4128" spans="1:10" customHeight="0">
      <c r="A4128" s="0">
        <f>HYPERLINK("https://dl.dropboxusercontent.com/scl/fi/88srk9buaaaenlev49owq/161013-iowa-adam-mens-t.jpg?rlkey=xkpx7emv20aj8hzeqhvpc9ks8&amp;dl=0","Click to download Image")</f>
      </c>
      <c r="B4128" s="0">
        <f>HYPERLINK("https://dl.dropboxusercontent.com/scl/fi/q6uv4lpdzv9wte9pxp9so/mens-t-shirt-size-chartscason-slate-ls.jpg?rlkey=srl1s80wym2pvc0dauicrvgac&amp;dl=0","Click to download SizeChart")</f>
      </c>
      <c r="C4128" s="0" t="inlineStr">
        <is>
          <t>Adams Men's Long Sleeve Shirt</t>
        </is>
      </c>
      <c r="D4128" s="1">
        <v>161013</v>
      </c>
      <c r="E4128" s="0" t="inlineStr">
        <is>
          <t>IOWA ADAMS M HG:161013C-L</t>
        </is>
      </c>
      <c r="F4128" s="2">
        <v>800161013068</v>
      </c>
      <c r="G4128" s="0" t="inlineStr">
        <is>
          <t>MENS</t>
        </is>
      </c>
      <c r="H4128" s="0" t="inlineStr">
        <is>
          <t>L</t>
        </is>
      </c>
      <c r="I4128" s="0">
        <v>32.99</v>
      </c>
      <c r="J4128" s="0">
        <v>10</v>
      </c>
    </row>
    <row r="4129" spans="1:10" customHeight="0">
      <c r="A4129" s="0">
        <f>HYPERLINK("https://dl.dropboxusercontent.com/scl/fi/88srk9buaaaenlev49owq/161013-iowa-adam-mens-t.jpg?rlkey=xkpx7emv20aj8hzeqhvpc9ks8&amp;dl=0","Click to download Image")</f>
      </c>
      <c r="B4129" s="0">
        <f>HYPERLINK("https://dl.dropboxusercontent.com/scl/fi/q6uv4lpdzv9wte9pxp9so/mens-t-shirt-size-chartscason-slate-ls.jpg?rlkey=srl1s80wym2pvc0dauicrvgac&amp;dl=0","Click to download SizeChart")</f>
      </c>
      <c r="C4129" s="0" t="inlineStr">
        <is>
          <t>Adams Men's Long Sleeve Shirt</t>
        </is>
      </c>
      <c r="D4129" s="1">
        <v>161013</v>
      </c>
      <c r="E4129" s="0" t="inlineStr">
        <is>
          <t>IOWA ADAMS M HG:161013D-XL</t>
        </is>
      </c>
      <c r="F4129" s="2">
        <v>800161013075</v>
      </c>
      <c r="G4129" s="0" t="inlineStr">
        <is>
          <t>MENS</t>
        </is>
      </c>
      <c r="H4129" s="0" t="inlineStr">
        <is>
          <t>XL</t>
        </is>
      </c>
      <c r="I4129" s="0">
        <v>32.99</v>
      </c>
      <c r="J4129" s="0">
        <v>10</v>
      </c>
    </row>
    <row r="4130" spans="1:10" customHeight="0">
      <c r="A4130" s="0">
        <f>HYPERLINK("https://dl.dropboxusercontent.com/scl/fi/88srk9buaaaenlev49owq/161013-iowa-adam-mens-t.jpg?rlkey=xkpx7emv20aj8hzeqhvpc9ks8&amp;dl=0","Click to download Image")</f>
      </c>
      <c r="B4130" s="0">
        <f>HYPERLINK("https://dl.dropboxusercontent.com/scl/fi/q6uv4lpdzv9wte9pxp9so/mens-t-shirt-size-chartscason-slate-ls.jpg?rlkey=srl1s80wym2pvc0dauicrvgac&amp;dl=0","Click to download SizeChart")</f>
      </c>
      <c r="C4130" s="0" t="inlineStr">
        <is>
          <t>Adams Men's Long Sleeve Shirt</t>
        </is>
      </c>
      <c r="D4130" s="1">
        <v>161013</v>
      </c>
      <c r="E4130" s="0" t="inlineStr">
        <is>
          <t>IOWA ADAMS M HG:161013E-2XL</t>
        </is>
      </c>
      <c r="F4130" s="2">
        <v>800161013082</v>
      </c>
      <c r="G4130" s="0" t="inlineStr">
        <is>
          <t>MENS</t>
        </is>
      </c>
      <c r="H4130" s="0" t="inlineStr">
        <is>
          <t>2XL</t>
        </is>
      </c>
      <c r="I4130" s="0">
        <v>32.99</v>
      </c>
      <c r="J4130" s="0">
        <v>8</v>
      </c>
    </row>
    <row r="4131" spans="1:10" customHeight="0">
      <c r="A4131" s="0">
        <f>HYPERLINK("https://dl.dropboxusercontent.com/scl/fi/88srk9buaaaenlev49owq/161013-iowa-adam-mens-t.jpg?rlkey=xkpx7emv20aj8hzeqhvpc9ks8&amp;dl=0","Click to download Image")</f>
      </c>
      <c r="B4131" s="0">
        <f>HYPERLINK("https://dl.dropboxusercontent.com/scl/fi/q6uv4lpdzv9wte9pxp9so/mens-t-shirt-size-chartscason-slate-ls.jpg?rlkey=srl1s80wym2pvc0dauicrvgac&amp;dl=0","Click to download SizeChart")</f>
      </c>
      <c r="C4131" s="0" t="inlineStr">
        <is>
          <t>Adams Men's Long Sleeve Shirt</t>
        </is>
      </c>
      <c r="D4131" s="1">
        <v>161013</v>
      </c>
      <c r="E4131" s="0" t="inlineStr">
        <is>
          <t>IOWA ADAMS M HG:161013F-3XL</t>
        </is>
      </c>
      <c r="F4131" s="2">
        <v>800161013099</v>
      </c>
      <c r="G4131" s="0" t="inlineStr">
        <is>
          <t>MENS</t>
        </is>
      </c>
      <c r="H4131" s="0" t="inlineStr">
        <is>
          <t>3XL</t>
        </is>
      </c>
      <c r="I4131" s="0">
        <v>32.99</v>
      </c>
      <c r="J4131" s="0">
        <v>4</v>
      </c>
    </row>
    <row r="4132" spans="1:10" customHeight="0">
      <c r="A4132" s="0">
        <f>HYPERLINK("https://dl.dropboxusercontent.com/scl/fi/bosavf635pyoldzhlfgme/161012-iowa-adams-mens-t.jpg?rlkey=vf3hj4xn7urafjoou96je9lm0&amp;dl=0","Click to download Image")</f>
      </c>
      <c r="B4132" s="0">
        <f>HYPERLINK("https://dl.dropboxusercontent.com/scl/fi/q6uv4lpdzv9wte9pxp9so/mens-t-shirt-size-chartscason-slate-ls.jpg?rlkey=srl1s80wym2pvc0dauicrvgac&amp;dl=0","Click to download SizeChart")</f>
      </c>
      <c r="C4132" s="0" t="inlineStr">
        <is>
          <t>Adams Men's Long Sleeve Shirt</t>
        </is>
      </c>
      <c r="D4132" s="1">
        <v>161012</v>
      </c>
      <c r="E4132" s="0" t="inlineStr">
        <is>
          <t>IOWA ADAMS M BK:161012A-S</t>
        </is>
      </c>
      <c r="F4132" s="2">
        <v>800161012047</v>
      </c>
      <c r="G4132" s="0" t="inlineStr">
        <is>
          <t>MENS</t>
        </is>
      </c>
      <c r="H4132" s="0" t="inlineStr">
        <is>
          <t>S</t>
        </is>
      </c>
      <c r="I4132" s="0">
        <v>32.99</v>
      </c>
      <c r="J4132" s="0">
        <v>4</v>
      </c>
    </row>
    <row r="4133" spans="1:10" customHeight="0">
      <c r="A4133" s="0">
        <f>HYPERLINK("https://dl.dropboxusercontent.com/scl/fi/bosavf635pyoldzhlfgme/161012-iowa-adams-mens-t.jpg?rlkey=vf3hj4xn7urafjoou96je9lm0&amp;dl=0","Click to download Image")</f>
      </c>
      <c r="B4133" s="0">
        <f>HYPERLINK("https://dl.dropboxusercontent.com/scl/fi/q6uv4lpdzv9wte9pxp9so/mens-t-shirt-size-chartscason-slate-ls.jpg?rlkey=srl1s80wym2pvc0dauicrvgac&amp;dl=0","Click to download SizeChart")</f>
      </c>
      <c r="C4133" s="0" t="inlineStr">
        <is>
          <t>Adams Men's Long Sleeve Shirt</t>
        </is>
      </c>
      <c r="D4133" s="1">
        <v>161012</v>
      </c>
      <c r="E4133" s="0" t="inlineStr">
        <is>
          <t>IOWA ADAMS M BK:161012B-M</t>
        </is>
      </c>
      <c r="F4133" s="2">
        <v>800161012054</v>
      </c>
      <c r="G4133" s="0" t="inlineStr">
        <is>
          <t>MENS</t>
        </is>
      </c>
      <c r="H4133" s="0" t="inlineStr">
        <is>
          <t>M</t>
        </is>
      </c>
      <c r="I4133" s="0">
        <v>32.99</v>
      </c>
      <c r="J4133" s="0">
        <v>5</v>
      </c>
    </row>
    <row r="4134" spans="1:10" customHeight="0">
      <c r="A4134" s="0">
        <f>HYPERLINK("https://dl.dropboxusercontent.com/scl/fi/bosavf635pyoldzhlfgme/161012-iowa-adams-mens-t.jpg?rlkey=vf3hj4xn7urafjoou96je9lm0&amp;dl=0","Click to download Image")</f>
      </c>
      <c r="B4134" s="0">
        <f>HYPERLINK("https://dl.dropboxusercontent.com/scl/fi/q6uv4lpdzv9wte9pxp9so/mens-t-shirt-size-chartscason-slate-ls.jpg?rlkey=srl1s80wym2pvc0dauicrvgac&amp;dl=0","Click to download SizeChart")</f>
      </c>
      <c r="C4134" s="0" t="inlineStr">
        <is>
          <t>Adams Men's Long Sleeve Shirt</t>
        </is>
      </c>
      <c r="D4134" s="1">
        <v>161012</v>
      </c>
      <c r="E4134" s="0" t="inlineStr">
        <is>
          <t>IOWA ADAMS M BK:161012C-L</t>
        </is>
      </c>
      <c r="F4134" s="2">
        <v>800161012061</v>
      </c>
      <c r="G4134" s="0" t="inlineStr">
        <is>
          <t>MENS</t>
        </is>
      </c>
      <c r="H4134" s="0" t="inlineStr">
        <is>
          <t>L</t>
        </is>
      </c>
      <c r="I4134" s="0">
        <v>32.99</v>
      </c>
      <c r="J4134" s="0">
        <v>9</v>
      </c>
    </row>
    <row r="4135" spans="1:10" customHeight="0">
      <c r="A4135" s="0">
        <f>HYPERLINK("https://dl.dropboxusercontent.com/scl/fi/bosavf635pyoldzhlfgme/161012-iowa-adams-mens-t.jpg?rlkey=vf3hj4xn7urafjoou96je9lm0&amp;dl=0","Click to download Image")</f>
      </c>
      <c r="B4135" s="0">
        <f>HYPERLINK("https://dl.dropboxusercontent.com/scl/fi/q6uv4lpdzv9wte9pxp9so/mens-t-shirt-size-chartscason-slate-ls.jpg?rlkey=srl1s80wym2pvc0dauicrvgac&amp;dl=0","Click to download SizeChart")</f>
      </c>
      <c r="C4135" s="0" t="inlineStr">
        <is>
          <t>Adams Men's Long Sleeve Shirt</t>
        </is>
      </c>
      <c r="D4135" s="1">
        <v>161012</v>
      </c>
      <c r="E4135" s="0" t="inlineStr">
        <is>
          <t>IOWA ADAMS M BK:161012D-XL</t>
        </is>
      </c>
      <c r="F4135" s="2">
        <v>800161012078</v>
      </c>
      <c r="G4135" s="0" t="inlineStr">
        <is>
          <t>MENS</t>
        </is>
      </c>
      <c r="H4135" s="0" t="inlineStr">
        <is>
          <t>XL</t>
        </is>
      </c>
      <c r="I4135" s="0">
        <v>32.99</v>
      </c>
      <c r="J4135" s="0">
        <v>9</v>
      </c>
    </row>
    <row r="4136" spans="1:10" customHeight="0">
      <c r="A4136" s="0">
        <f>HYPERLINK("https://dl.dropboxusercontent.com/scl/fi/bosavf635pyoldzhlfgme/161012-iowa-adams-mens-t.jpg?rlkey=vf3hj4xn7urafjoou96je9lm0&amp;dl=0","Click to download Image")</f>
      </c>
      <c r="B4136" s="0">
        <f>HYPERLINK("https://dl.dropboxusercontent.com/scl/fi/q6uv4lpdzv9wte9pxp9so/mens-t-shirt-size-chartscason-slate-ls.jpg?rlkey=srl1s80wym2pvc0dauicrvgac&amp;dl=0","Click to download SizeChart")</f>
      </c>
      <c r="C4136" s="0" t="inlineStr">
        <is>
          <t>Adams Men's Long Sleeve Shirt</t>
        </is>
      </c>
      <c r="D4136" s="1">
        <v>161012</v>
      </c>
      <c r="E4136" s="0" t="inlineStr">
        <is>
          <t>IOWA ADAMS M BK:161012E-2XL</t>
        </is>
      </c>
      <c r="F4136" s="2">
        <v>800161012085</v>
      </c>
      <c r="G4136" s="0" t="inlineStr">
        <is>
          <t>MENS</t>
        </is>
      </c>
      <c r="H4136" s="0" t="inlineStr">
        <is>
          <t>2XL</t>
        </is>
      </c>
      <c r="I4136" s="0">
        <v>32.99</v>
      </c>
      <c r="J4136" s="0">
        <v>7</v>
      </c>
    </row>
    <row r="4137" spans="1:10" customHeight="0">
      <c r="A4137" s="0">
        <f>HYPERLINK("https://dl.dropboxusercontent.com/scl/fi/bosavf635pyoldzhlfgme/161012-iowa-adams-mens-t.jpg?rlkey=vf3hj4xn7urafjoou96je9lm0&amp;dl=0","Click to download Image")</f>
      </c>
      <c r="B4137" s="0">
        <f>HYPERLINK("https://dl.dropboxusercontent.com/scl/fi/q6uv4lpdzv9wte9pxp9so/mens-t-shirt-size-chartscason-slate-ls.jpg?rlkey=srl1s80wym2pvc0dauicrvgac&amp;dl=0","Click to download SizeChart")</f>
      </c>
      <c r="C4137" s="0" t="inlineStr">
        <is>
          <t>Adams Men's Long Sleeve Shirt</t>
        </is>
      </c>
      <c r="D4137" s="1">
        <v>161012</v>
      </c>
      <c r="E4137" s="0" t="inlineStr">
        <is>
          <t>IOWA ADAMS M BK:161012F-3XL</t>
        </is>
      </c>
      <c r="F4137" s="2">
        <v>800161012092</v>
      </c>
      <c r="G4137" s="0" t="inlineStr">
        <is>
          <t>MENS</t>
        </is>
      </c>
      <c r="H4137" s="0" t="inlineStr">
        <is>
          <t>3XL</t>
        </is>
      </c>
      <c r="I4137" s="0">
        <v>32.99</v>
      </c>
      <c r="J4137" s="0">
        <v>3</v>
      </c>
    </row>
    <row r="4138" spans="1:10" customHeight="0">
      <c r="A4138" s="0">
        <f>HYPERLINK("https://dl.dropboxusercontent.com/scl/fi/cm72zmnjmqt24ug1yeqq6/161011-iowa-adams-bk-t.jpg?rlkey=071l5k1t6kt0f9irknxjcthih&amp;dl=0","Click to download Image")</f>
      </c>
      <c r="B4138" s="0">
        <f>HYPERLINK("https://dl.dropboxusercontent.com/scl/fi/q6uv4lpdzv9wte9pxp9so/mens-t-shirt-size-chartscason-slate-ls.jpg?rlkey=srl1s80wym2pvc0dauicrvgac&amp;dl=0","Click to download SizeChart")</f>
      </c>
      <c r="C4138" s="0" t="inlineStr">
        <is>
          <t>Adams Men's Long Sleeve Shirt</t>
        </is>
      </c>
      <c r="D4138" s="1">
        <v>161011</v>
      </c>
      <c r="E4138" s="0" t="inlineStr">
        <is>
          <t>IOWA ADAMS M BK:161011A-S</t>
        </is>
      </c>
      <c r="F4138" s="2">
        <v>800161011040</v>
      </c>
      <c r="G4138" s="0" t="inlineStr">
        <is>
          <t>MENS</t>
        </is>
      </c>
      <c r="H4138" s="0" t="inlineStr">
        <is>
          <t>S</t>
        </is>
      </c>
      <c r="I4138" s="0">
        <v>32.99</v>
      </c>
      <c r="J4138" s="0">
        <v>4</v>
      </c>
    </row>
    <row r="4139" spans="1:10" customHeight="0">
      <c r="A4139" s="0">
        <f>HYPERLINK("https://dl.dropboxusercontent.com/scl/fi/cm72zmnjmqt24ug1yeqq6/161011-iowa-adams-bk-t.jpg?rlkey=071l5k1t6kt0f9irknxjcthih&amp;dl=0","Click to download Image")</f>
      </c>
      <c r="B4139" s="0">
        <f>HYPERLINK("https://dl.dropboxusercontent.com/scl/fi/q6uv4lpdzv9wte9pxp9so/mens-t-shirt-size-chartscason-slate-ls.jpg?rlkey=srl1s80wym2pvc0dauicrvgac&amp;dl=0","Click to download SizeChart")</f>
      </c>
      <c r="C4139" s="0" t="inlineStr">
        <is>
          <t>Adams Men's Long Sleeve Shirt</t>
        </is>
      </c>
      <c r="D4139" s="1">
        <v>161011</v>
      </c>
      <c r="E4139" s="0" t="inlineStr">
        <is>
          <t>IOWA ADAMS M BK:161011B-M</t>
        </is>
      </c>
      <c r="F4139" s="2">
        <v>800161011057</v>
      </c>
      <c r="G4139" s="0" t="inlineStr">
        <is>
          <t>MENS</t>
        </is>
      </c>
      <c r="H4139" s="0" t="inlineStr">
        <is>
          <t>M</t>
        </is>
      </c>
      <c r="I4139" s="0">
        <v>32.99</v>
      </c>
      <c r="J4139" s="0">
        <v>6</v>
      </c>
    </row>
    <row r="4140" spans="1:10" customHeight="0">
      <c r="A4140" s="0">
        <f>HYPERLINK("https://dl.dropboxusercontent.com/scl/fi/cm72zmnjmqt24ug1yeqq6/161011-iowa-adams-bk-t.jpg?rlkey=071l5k1t6kt0f9irknxjcthih&amp;dl=0","Click to download Image")</f>
      </c>
      <c r="B4140" s="0">
        <f>HYPERLINK("https://dl.dropboxusercontent.com/scl/fi/q6uv4lpdzv9wte9pxp9so/mens-t-shirt-size-chartscason-slate-ls.jpg?rlkey=srl1s80wym2pvc0dauicrvgac&amp;dl=0","Click to download SizeChart")</f>
      </c>
      <c r="C4140" s="0" t="inlineStr">
        <is>
          <t>Adams Men's Long Sleeve Shirt</t>
        </is>
      </c>
      <c r="D4140" s="1">
        <v>161011</v>
      </c>
      <c r="E4140" s="0" t="inlineStr">
        <is>
          <t>IOWA ADAMS M BK:161011C-L</t>
        </is>
      </c>
      <c r="F4140" s="2">
        <v>800161011064</v>
      </c>
      <c r="G4140" s="0" t="inlineStr">
        <is>
          <t>MENS</t>
        </is>
      </c>
      <c r="H4140" s="0" t="inlineStr">
        <is>
          <t>L</t>
        </is>
      </c>
      <c r="I4140" s="0">
        <v>32.99</v>
      </c>
      <c r="J4140" s="0">
        <v>10</v>
      </c>
    </row>
    <row r="4141" spans="1:10" customHeight="0">
      <c r="A4141" s="0">
        <f>HYPERLINK("https://dl.dropboxusercontent.com/scl/fi/cm72zmnjmqt24ug1yeqq6/161011-iowa-adams-bk-t.jpg?rlkey=071l5k1t6kt0f9irknxjcthih&amp;dl=0","Click to download Image")</f>
      </c>
      <c r="B4141" s="0">
        <f>HYPERLINK("https://dl.dropboxusercontent.com/scl/fi/q6uv4lpdzv9wte9pxp9so/mens-t-shirt-size-chartscason-slate-ls.jpg?rlkey=srl1s80wym2pvc0dauicrvgac&amp;dl=0","Click to download SizeChart")</f>
      </c>
      <c r="C4141" s="0" t="inlineStr">
        <is>
          <t>Adams Men's Long Sleeve Shirt</t>
        </is>
      </c>
      <c r="D4141" s="1">
        <v>161011</v>
      </c>
      <c r="E4141" s="0" t="inlineStr">
        <is>
          <t>IOWA ADAMS M BK:161011D-XL</t>
        </is>
      </c>
      <c r="F4141" s="2">
        <v>800161011071</v>
      </c>
      <c r="G4141" s="0" t="inlineStr">
        <is>
          <t>MENS</t>
        </is>
      </c>
      <c r="H4141" s="0" t="inlineStr">
        <is>
          <t>XL</t>
        </is>
      </c>
      <c r="I4141" s="0">
        <v>32.99</v>
      </c>
      <c r="J4141" s="0">
        <v>10</v>
      </c>
    </row>
    <row r="4142" spans="1:10" customHeight="0">
      <c r="A4142" s="0">
        <f>HYPERLINK("https://dl.dropboxusercontent.com/scl/fi/cm72zmnjmqt24ug1yeqq6/161011-iowa-adams-bk-t.jpg?rlkey=071l5k1t6kt0f9irknxjcthih&amp;dl=0","Click to download Image")</f>
      </c>
      <c r="B4142" s="0">
        <f>HYPERLINK("https://dl.dropboxusercontent.com/scl/fi/q6uv4lpdzv9wte9pxp9so/mens-t-shirt-size-chartscason-slate-ls.jpg?rlkey=srl1s80wym2pvc0dauicrvgac&amp;dl=0","Click to download SizeChart")</f>
      </c>
      <c r="C4142" s="0" t="inlineStr">
        <is>
          <t>Adams Men's Long Sleeve Shirt</t>
        </is>
      </c>
      <c r="D4142" s="1">
        <v>161011</v>
      </c>
      <c r="E4142" s="0" t="inlineStr">
        <is>
          <t>IOWA ADAMS M BK:161011E-2XL</t>
        </is>
      </c>
      <c r="F4142" s="2">
        <v>800161011088</v>
      </c>
      <c r="G4142" s="0" t="inlineStr">
        <is>
          <t>MENS</t>
        </is>
      </c>
      <c r="H4142" s="0" t="inlineStr">
        <is>
          <t>2XL</t>
        </is>
      </c>
      <c r="I4142" s="0">
        <v>32.99</v>
      </c>
      <c r="J4142" s="0">
        <v>8</v>
      </c>
    </row>
    <row r="4143" spans="1:10" customHeight="0">
      <c r="A4143" s="0">
        <f>HYPERLINK("https://dl.dropboxusercontent.com/scl/fi/cm72zmnjmqt24ug1yeqq6/161011-iowa-adams-bk-t.jpg?rlkey=071l5k1t6kt0f9irknxjcthih&amp;dl=0","Click to download Image")</f>
      </c>
      <c r="B4143" s="0">
        <f>HYPERLINK("https://dl.dropboxusercontent.com/scl/fi/q6uv4lpdzv9wte9pxp9so/mens-t-shirt-size-chartscason-slate-ls.jpg?rlkey=srl1s80wym2pvc0dauicrvgac&amp;dl=0","Click to download SizeChart")</f>
      </c>
      <c r="C4143" s="0" t="inlineStr">
        <is>
          <t>Adams Men's Long Sleeve Shirt</t>
        </is>
      </c>
      <c r="D4143" s="1">
        <v>161011</v>
      </c>
      <c r="E4143" s="0" t="inlineStr">
        <is>
          <t>IOWA ADAMS M BK:161011F-3XL</t>
        </is>
      </c>
      <c r="F4143" s="2">
        <v>800161011095</v>
      </c>
      <c r="G4143" s="0" t="inlineStr">
        <is>
          <t>MENS</t>
        </is>
      </c>
      <c r="H4143" s="0" t="inlineStr">
        <is>
          <t>3XL</t>
        </is>
      </c>
      <c r="I4143" s="0">
        <v>32.99</v>
      </c>
      <c r="J4143" s="0">
        <v>4</v>
      </c>
    </row>
    <row r="4144" spans="1:10" customHeight="0">
      <c r="A4144" s="0">
        <f>HYPERLINK("https://dl.dropboxusercontent.com/scl/fi/ooyze2djs7o1mks5ta6gp/161022-iowa-gaines-t.jpg?rlkey=3ojhqfrrqkpq9t0aii77l1u1w&amp;dl=0","Click to download Image")</f>
      </c>
      <c r="B4144" s="0">
        <f>HYPERLINK("https://dl.dropboxusercontent.com/scl/fi/lf1pbdqonbdll4wi6x3az/mens-hoodie-size-chartsquincy-crewneck.jpg?rlkey=x3pih2o20onbg0d6mj1xzadsi&amp;dl=0","Click to download SizeChart")</f>
      </c>
      <c r="C4144" s="0" t="inlineStr">
        <is>
          <t>Gaines Men's Fleece Sweatshirt</t>
        </is>
      </c>
      <c r="D4144" s="1">
        <v>161022</v>
      </c>
      <c r="E4144" s="0" t="inlineStr">
        <is>
          <t>IOWA GAINES M LN:161022A-S</t>
        </is>
      </c>
      <c r="F4144" s="2">
        <v>800161022046</v>
      </c>
      <c r="G4144" s="0" t="inlineStr">
        <is>
          <t>MENS</t>
        </is>
      </c>
      <c r="H4144" s="0" t="inlineStr">
        <is>
          <t>S</t>
        </is>
      </c>
      <c r="I4144" s="0">
        <v>46.99</v>
      </c>
      <c r="J4144" s="0">
        <v>18</v>
      </c>
    </row>
    <row r="4145" spans="1:10" customHeight="0">
      <c r="A4145" s="0">
        <f>HYPERLINK("https://dl.dropboxusercontent.com/scl/fi/ooyze2djs7o1mks5ta6gp/161022-iowa-gaines-t.jpg?rlkey=3ojhqfrrqkpq9t0aii77l1u1w&amp;dl=0","Click to download Image")</f>
      </c>
      <c r="B4145" s="0">
        <f>HYPERLINK("https://dl.dropboxusercontent.com/scl/fi/lf1pbdqonbdll4wi6x3az/mens-hoodie-size-chartsquincy-crewneck.jpg?rlkey=x3pih2o20onbg0d6mj1xzadsi&amp;dl=0","Click to download SizeChart")</f>
      </c>
      <c r="C4145" s="0" t="inlineStr">
        <is>
          <t>Gaines Men's Fleece Sweatshirt</t>
        </is>
      </c>
      <c r="D4145" s="1">
        <v>161022</v>
      </c>
      <c r="E4145" s="0" t="inlineStr">
        <is>
          <t>IOWA GAINES M LN:161022B-M</t>
        </is>
      </c>
      <c r="F4145" s="2">
        <v>800161022053</v>
      </c>
      <c r="G4145" s="0" t="inlineStr">
        <is>
          <t>MENS</t>
        </is>
      </c>
      <c r="H4145" s="0" t="inlineStr">
        <is>
          <t>M</t>
        </is>
      </c>
      <c r="I4145" s="0">
        <v>46.99</v>
      </c>
      <c r="J4145" s="0">
        <v>36</v>
      </c>
    </row>
    <row r="4146" spans="1:10" customHeight="0">
      <c r="A4146" s="0">
        <f>HYPERLINK("https://dl.dropboxusercontent.com/scl/fi/ooyze2djs7o1mks5ta6gp/161022-iowa-gaines-t.jpg?rlkey=3ojhqfrrqkpq9t0aii77l1u1w&amp;dl=0","Click to download Image")</f>
      </c>
      <c r="B4146" s="0">
        <f>HYPERLINK("https://dl.dropboxusercontent.com/scl/fi/lf1pbdqonbdll4wi6x3az/mens-hoodie-size-chartsquincy-crewneck.jpg?rlkey=x3pih2o20onbg0d6mj1xzadsi&amp;dl=0","Click to download SizeChart")</f>
      </c>
      <c r="C4146" s="0" t="inlineStr">
        <is>
          <t>Gaines Men's Fleece Sweatshirt</t>
        </is>
      </c>
      <c r="D4146" s="1">
        <v>161022</v>
      </c>
      <c r="E4146" s="0" t="inlineStr">
        <is>
          <t>IOWA GAINES M LN:161022C-L</t>
        </is>
      </c>
      <c r="F4146" s="2">
        <v>800161022060</v>
      </c>
      <c r="G4146" s="0" t="inlineStr">
        <is>
          <t>MENS</t>
        </is>
      </c>
      <c r="H4146" s="0" t="inlineStr">
        <is>
          <t>L</t>
        </is>
      </c>
      <c r="I4146" s="0">
        <v>46.99</v>
      </c>
      <c r="J4146" s="0">
        <v>52</v>
      </c>
    </row>
    <row r="4147" spans="1:10" customHeight="0">
      <c r="A4147" s="0">
        <f>HYPERLINK("https://dl.dropboxusercontent.com/scl/fi/ooyze2djs7o1mks5ta6gp/161022-iowa-gaines-t.jpg?rlkey=3ojhqfrrqkpq9t0aii77l1u1w&amp;dl=0","Click to download Image")</f>
      </c>
      <c r="B4147" s="0">
        <f>HYPERLINK("https://dl.dropboxusercontent.com/scl/fi/lf1pbdqonbdll4wi6x3az/mens-hoodie-size-chartsquincy-crewneck.jpg?rlkey=x3pih2o20onbg0d6mj1xzadsi&amp;dl=0","Click to download SizeChart")</f>
      </c>
      <c r="C4147" s="0" t="inlineStr">
        <is>
          <t>Gaines Men's Fleece Sweatshirt</t>
        </is>
      </c>
      <c r="D4147" s="1">
        <v>161022</v>
      </c>
      <c r="E4147" s="0" t="inlineStr">
        <is>
          <t>IOWA GAINES M LN:161022D-XL</t>
        </is>
      </c>
      <c r="F4147" s="2">
        <v>800161022077</v>
      </c>
      <c r="G4147" s="0" t="inlineStr">
        <is>
          <t>MENS</t>
        </is>
      </c>
      <c r="H4147" s="0" t="inlineStr">
        <is>
          <t>XL</t>
        </is>
      </c>
      <c r="I4147" s="0">
        <v>46.99</v>
      </c>
      <c r="J4147" s="0">
        <v>51</v>
      </c>
    </row>
    <row r="4148" spans="1:10" customHeight="0">
      <c r="A4148" s="0">
        <f>HYPERLINK("https://dl.dropboxusercontent.com/scl/fi/ooyze2djs7o1mks5ta6gp/161022-iowa-gaines-t.jpg?rlkey=3ojhqfrrqkpq9t0aii77l1u1w&amp;dl=0","Click to download Image")</f>
      </c>
      <c r="B4148" s="0">
        <f>HYPERLINK("https://dl.dropboxusercontent.com/scl/fi/lf1pbdqonbdll4wi6x3az/mens-hoodie-size-chartsquincy-crewneck.jpg?rlkey=x3pih2o20onbg0d6mj1xzadsi&amp;dl=0","Click to download SizeChart")</f>
      </c>
      <c r="C4148" s="0" t="inlineStr">
        <is>
          <t>Gaines Men's Fleece Sweatshirt</t>
        </is>
      </c>
      <c r="D4148" s="1">
        <v>161022</v>
      </c>
      <c r="E4148" s="0" t="inlineStr">
        <is>
          <t>IOWA GAINES M LN:161022E-2XL</t>
        </is>
      </c>
      <c r="F4148" s="2">
        <v>800161022084</v>
      </c>
      <c r="G4148" s="0" t="inlineStr">
        <is>
          <t>MENS</t>
        </is>
      </c>
      <c r="H4148" s="0" t="inlineStr">
        <is>
          <t>2XL</t>
        </is>
      </c>
      <c r="I4148" s="0">
        <v>46.99</v>
      </c>
      <c r="J4148" s="0">
        <v>34</v>
      </c>
    </row>
    <row r="4149" spans="1:10" customHeight="0">
      <c r="A4149" s="0">
        <f>HYPERLINK("https://dl.dropboxusercontent.com/scl/fi/ooyze2djs7o1mks5ta6gp/161022-iowa-gaines-t.jpg?rlkey=3ojhqfrrqkpq9t0aii77l1u1w&amp;dl=0","Click to download Image")</f>
      </c>
      <c r="B4149" s="0">
        <f>HYPERLINK("https://dl.dropboxusercontent.com/scl/fi/lf1pbdqonbdll4wi6x3az/mens-hoodie-size-chartsquincy-crewneck.jpg?rlkey=x3pih2o20onbg0d6mj1xzadsi&amp;dl=0","Click to download SizeChart")</f>
      </c>
      <c r="C4149" s="0" t="inlineStr">
        <is>
          <t>Gaines Men's Fleece Sweatshirt</t>
        </is>
      </c>
      <c r="D4149" s="1">
        <v>161022</v>
      </c>
      <c r="E4149" s="0" t="inlineStr">
        <is>
          <t>IOWA GAINES M LN:161022F-3XL</t>
        </is>
      </c>
      <c r="F4149" s="2">
        <v>800161022091</v>
      </c>
      <c r="G4149" s="0" t="inlineStr">
        <is>
          <t>MENS</t>
        </is>
      </c>
      <c r="H4149" s="0" t="inlineStr">
        <is>
          <t>3XL</t>
        </is>
      </c>
      <c r="I4149" s="0">
        <v>46.99</v>
      </c>
      <c r="J4149" s="0">
        <v>17</v>
      </c>
    </row>
    <row r="4150" spans="1:10" customHeight="0">
      <c r="A4150" s="0">
        <f>HYPERLINK("https://dl.dropboxusercontent.com/scl/fi/v4wvnancg856zvqorg4b0/161020-iowa-gaines-crew-sweatshirt-mens-pd26-bk-t.jpg?rlkey=yps5rpc9g68uh5jz7yk1xy3ph&amp;dl=0","Click to download Image")</f>
      </c>
      <c r="B4150" s="0">
        <f>HYPERLINK("https://dl.dropboxusercontent.com/scl/fi/lf1pbdqonbdll4wi6x3az/mens-hoodie-size-chartsquincy-crewneck.jpg?rlkey=x3pih2o20onbg0d6mj1xzadsi&amp;dl=0","Click to download SizeChart")</f>
      </c>
      <c r="C4150" s="0" t="inlineStr">
        <is>
          <t>Gaines Men's Fleece Sweatshirt</t>
        </is>
      </c>
      <c r="D4150" s="1">
        <v>161020</v>
      </c>
      <c r="E4150" s="0" t="inlineStr">
        <is>
          <t>IOWA GAINES M BK:161020A-S</t>
        </is>
      </c>
      <c r="F4150" s="2">
        <v>800161020042</v>
      </c>
      <c r="G4150" s="0" t="inlineStr">
        <is>
          <t>MENS</t>
        </is>
      </c>
      <c r="H4150" s="0" t="inlineStr">
        <is>
          <t>S</t>
        </is>
      </c>
      <c r="I4150" s="0">
        <v>46.99</v>
      </c>
      <c r="J4150" s="0">
        <v>18</v>
      </c>
    </row>
    <row r="4151" spans="1:10" customHeight="0">
      <c r="A4151" s="0">
        <f>HYPERLINK("https://dl.dropboxusercontent.com/scl/fi/v4wvnancg856zvqorg4b0/161020-iowa-gaines-crew-sweatshirt-mens-pd26-bk-t.jpg?rlkey=yps5rpc9g68uh5jz7yk1xy3ph&amp;dl=0","Click to download Image")</f>
      </c>
      <c r="B4151" s="0">
        <f>HYPERLINK("https://dl.dropboxusercontent.com/scl/fi/lf1pbdqonbdll4wi6x3az/mens-hoodie-size-chartsquincy-crewneck.jpg?rlkey=x3pih2o20onbg0d6mj1xzadsi&amp;dl=0","Click to download SizeChart")</f>
      </c>
      <c r="C4151" s="0" t="inlineStr">
        <is>
          <t>Gaines Men's Fleece Sweatshirt</t>
        </is>
      </c>
      <c r="D4151" s="1">
        <v>161020</v>
      </c>
      <c r="E4151" s="0" t="inlineStr">
        <is>
          <t>IOWA GAINES M BK:161020B-M</t>
        </is>
      </c>
      <c r="F4151" s="2">
        <v>800161020059</v>
      </c>
      <c r="G4151" s="0" t="inlineStr">
        <is>
          <t>MENS</t>
        </is>
      </c>
      <c r="H4151" s="0" t="inlineStr">
        <is>
          <t>M</t>
        </is>
      </c>
      <c r="I4151" s="0">
        <v>46.99</v>
      </c>
      <c r="J4151" s="0">
        <v>36</v>
      </c>
    </row>
    <row r="4152" spans="1:10" customHeight="0">
      <c r="A4152" s="0">
        <f>HYPERLINK("https://dl.dropboxusercontent.com/scl/fi/v4wvnancg856zvqorg4b0/161020-iowa-gaines-crew-sweatshirt-mens-pd26-bk-t.jpg?rlkey=yps5rpc9g68uh5jz7yk1xy3ph&amp;dl=0","Click to download Image")</f>
      </c>
      <c r="B4152" s="0">
        <f>HYPERLINK("https://dl.dropboxusercontent.com/scl/fi/lf1pbdqonbdll4wi6x3az/mens-hoodie-size-chartsquincy-crewneck.jpg?rlkey=x3pih2o20onbg0d6mj1xzadsi&amp;dl=0","Click to download SizeChart")</f>
      </c>
      <c r="C4152" s="0" t="inlineStr">
        <is>
          <t>Gaines Men's Fleece Sweatshirt</t>
        </is>
      </c>
      <c r="D4152" s="1">
        <v>161020</v>
      </c>
      <c r="E4152" s="0" t="inlineStr">
        <is>
          <t>IOWA GAINES M BK:161020C-L</t>
        </is>
      </c>
      <c r="F4152" s="2">
        <v>800161020066</v>
      </c>
      <c r="G4152" s="0" t="inlineStr">
        <is>
          <t>MENS</t>
        </is>
      </c>
      <c r="H4152" s="0" t="inlineStr">
        <is>
          <t>L</t>
        </is>
      </c>
      <c r="I4152" s="0">
        <v>46.99</v>
      </c>
      <c r="J4152" s="0">
        <v>54</v>
      </c>
    </row>
    <row r="4153" spans="1:10" customHeight="0">
      <c r="A4153" s="0">
        <f>HYPERLINK("https://dl.dropboxusercontent.com/scl/fi/v4wvnancg856zvqorg4b0/161020-iowa-gaines-crew-sweatshirt-mens-pd26-bk-t.jpg?rlkey=yps5rpc9g68uh5jz7yk1xy3ph&amp;dl=0","Click to download Image")</f>
      </c>
      <c r="B4153" s="0">
        <f>HYPERLINK("https://dl.dropboxusercontent.com/scl/fi/lf1pbdqonbdll4wi6x3az/mens-hoodie-size-chartsquincy-crewneck.jpg?rlkey=x3pih2o20onbg0d6mj1xzadsi&amp;dl=0","Click to download SizeChart")</f>
      </c>
      <c r="C4153" s="0" t="inlineStr">
        <is>
          <t>Gaines Men's Fleece Sweatshirt</t>
        </is>
      </c>
      <c r="D4153" s="1">
        <v>161020</v>
      </c>
      <c r="E4153" s="0" t="inlineStr">
        <is>
          <t>IOWA GAINES M BK:161020D-XL</t>
        </is>
      </c>
      <c r="F4153" s="2">
        <v>800161020073</v>
      </c>
      <c r="G4153" s="0" t="inlineStr">
        <is>
          <t>MENS</t>
        </is>
      </c>
      <c r="H4153" s="0" t="inlineStr">
        <is>
          <t>XL</t>
        </is>
      </c>
      <c r="I4153" s="0">
        <v>46.99</v>
      </c>
      <c r="J4153" s="0">
        <v>54</v>
      </c>
    </row>
    <row r="4154" spans="1:10" customHeight="0">
      <c r="A4154" s="0">
        <f>HYPERLINK("https://dl.dropboxusercontent.com/scl/fi/v4wvnancg856zvqorg4b0/161020-iowa-gaines-crew-sweatshirt-mens-pd26-bk-t.jpg?rlkey=yps5rpc9g68uh5jz7yk1xy3ph&amp;dl=0","Click to download Image")</f>
      </c>
      <c r="B4154" s="0">
        <f>HYPERLINK("https://dl.dropboxusercontent.com/scl/fi/lf1pbdqonbdll4wi6x3az/mens-hoodie-size-chartsquincy-crewneck.jpg?rlkey=x3pih2o20onbg0d6mj1xzadsi&amp;dl=0","Click to download SizeChart")</f>
      </c>
      <c r="C4154" s="0" t="inlineStr">
        <is>
          <t>Gaines Men's Fleece Sweatshirt</t>
        </is>
      </c>
      <c r="D4154" s="1">
        <v>161020</v>
      </c>
      <c r="E4154" s="0" t="inlineStr">
        <is>
          <t>IOWA GAINES M BK:161020E-2XL</t>
        </is>
      </c>
      <c r="F4154" s="2">
        <v>800161020080</v>
      </c>
      <c r="G4154" s="0" t="inlineStr">
        <is>
          <t>MENS</t>
        </is>
      </c>
      <c r="H4154" s="0" t="inlineStr">
        <is>
          <t>2XL</t>
        </is>
      </c>
      <c r="I4154" s="0">
        <v>46.99</v>
      </c>
      <c r="J4154" s="0">
        <v>36</v>
      </c>
    </row>
    <row r="4155" spans="1:10" customHeight="0">
      <c r="A4155" s="0">
        <f>HYPERLINK("https://dl.dropboxusercontent.com/scl/fi/v4wvnancg856zvqorg4b0/161020-iowa-gaines-crew-sweatshirt-mens-pd26-bk-t.jpg?rlkey=yps5rpc9g68uh5jz7yk1xy3ph&amp;dl=0","Click to download Image")</f>
      </c>
      <c r="B4155" s="0">
        <f>HYPERLINK("https://dl.dropboxusercontent.com/scl/fi/lf1pbdqonbdll4wi6x3az/mens-hoodie-size-chartsquincy-crewneck.jpg?rlkey=x3pih2o20onbg0d6mj1xzadsi&amp;dl=0","Click to download SizeChart")</f>
      </c>
      <c r="C4155" s="0" t="inlineStr">
        <is>
          <t>Gaines Men's Fleece Sweatshirt</t>
        </is>
      </c>
      <c r="D4155" s="1">
        <v>161020</v>
      </c>
      <c r="E4155" s="0" t="inlineStr">
        <is>
          <t>IOWA GAINES M BK:161020F-3XL</t>
        </is>
      </c>
      <c r="F4155" s="2">
        <v>800161020097</v>
      </c>
      <c r="G4155" s="0" t="inlineStr">
        <is>
          <t>MENS</t>
        </is>
      </c>
      <c r="H4155" s="0" t="inlineStr">
        <is>
          <t>3XL</t>
        </is>
      </c>
      <c r="I4155" s="0">
        <v>46.99</v>
      </c>
      <c r="J4155" s="0">
        <v>18</v>
      </c>
    </row>
    <row r="4156" spans="1:10" customHeight="0">
      <c r="A4156" s="0">
        <f>HYPERLINK("https://dl.dropboxusercontent.com/scl/fi/18ei3qdu0ytxszw2liq7z/161021-iowa-gaines-crew-sweatshirt-mens-pd26-hg-t.jpg?rlkey=ufwebo3fp272a5t3or7q9ku0x&amp;dl=0","Click to download Image")</f>
      </c>
      <c r="B4156" s="0">
        <f>HYPERLINK("https://dl.dropboxusercontent.com/scl/fi/lf1pbdqonbdll4wi6x3az/mens-hoodie-size-chartsquincy-crewneck.jpg?rlkey=x3pih2o20onbg0d6mj1xzadsi&amp;dl=0","Click to download SizeChart")</f>
      </c>
      <c r="C4156" s="0" t="inlineStr">
        <is>
          <t>Gaines Men's Fleece Sweatshirt</t>
        </is>
      </c>
      <c r="D4156" s="1">
        <v>161021</v>
      </c>
      <c r="E4156" s="0" t="inlineStr">
        <is>
          <t>IOWA GAINES M HG:161021A-S</t>
        </is>
      </c>
      <c r="F4156" s="2">
        <v>800161021049</v>
      </c>
      <c r="G4156" s="0" t="inlineStr">
        <is>
          <t>MENS</t>
        </is>
      </c>
      <c r="H4156" s="0" t="inlineStr">
        <is>
          <t>S</t>
        </is>
      </c>
      <c r="I4156" s="0">
        <v>46.99</v>
      </c>
      <c r="J4156" s="0">
        <v>17</v>
      </c>
    </row>
    <row r="4157" spans="1:10" customHeight="0">
      <c r="A4157" s="0">
        <f>HYPERLINK("https://dl.dropboxusercontent.com/scl/fi/18ei3qdu0ytxszw2liq7z/161021-iowa-gaines-crew-sweatshirt-mens-pd26-hg-t.jpg?rlkey=ufwebo3fp272a5t3or7q9ku0x&amp;dl=0","Click to download Image")</f>
      </c>
      <c r="B4157" s="0">
        <f>HYPERLINK("https://dl.dropboxusercontent.com/scl/fi/lf1pbdqonbdll4wi6x3az/mens-hoodie-size-chartsquincy-crewneck.jpg?rlkey=x3pih2o20onbg0d6mj1xzadsi&amp;dl=0","Click to download SizeChart")</f>
      </c>
      <c r="C4157" s="0" t="inlineStr">
        <is>
          <t>Gaines Men's Fleece Sweatshirt</t>
        </is>
      </c>
      <c r="D4157" s="1">
        <v>161021</v>
      </c>
      <c r="E4157" s="0" t="inlineStr">
        <is>
          <t>IOWA GAINES M HG:161021B-M</t>
        </is>
      </c>
      <c r="F4157" s="2">
        <v>800161021056</v>
      </c>
      <c r="G4157" s="0" t="inlineStr">
        <is>
          <t>MENS</t>
        </is>
      </c>
      <c r="H4157" s="0" t="inlineStr">
        <is>
          <t>M</t>
        </is>
      </c>
      <c r="I4157" s="0">
        <v>46.99</v>
      </c>
      <c r="J4157" s="0">
        <v>35</v>
      </c>
    </row>
    <row r="4158" spans="1:10" customHeight="0">
      <c r="A4158" s="0">
        <f>HYPERLINK("https://dl.dropboxusercontent.com/scl/fi/18ei3qdu0ytxszw2liq7z/161021-iowa-gaines-crew-sweatshirt-mens-pd26-hg-t.jpg?rlkey=ufwebo3fp272a5t3or7q9ku0x&amp;dl=0","Click to download Image")</f>
      </c>
      <c r="B4158" s="0">
        <f>HYPERLINK("https://dl.dropboxusercontent.com/scl/fi/lf1pbdqonbdll4wi6x3az/mens-hoodie-size-chartsquincy-crewneck.jpg?rlkey=x3pih2o20onbg0d6mj1xzadsi&amp;dl=0","Click to download SizeChart")</f>
      </c>
      <c r="C4158" s="0" t="inlineStr">
        <is>
          <t>Gaines Men's Fleece Sweatshirt</t>
        </is>
      </c>
      <c r="D4158" s="1">
        <v>161021</v>
      </c>
      <c r="E4158" s="0" t="inlineStr">
        <is>
          <t>IOWA GAINES M HG:161021C-L</t>
        </is>
      </c>
      <c r="F4158" s="2">
        <v>800161021063</v>
      </c>
      <c r="G4158" s="0" t="inlineStr">
        <is>
          <t>MENS</t>
        </is>
      </c>
      <c r="H4158" s="0" t="inlineStr">
        <is>
          <t>L</t>
        </is>
      </c>
      <c r="I4158" s="0">
        <v>46.99</v>
      </c>
      <c r="J4158" s="0">
        <v>51</v>
      </c>
    </row>
    <row r="4159" spans="1:10" customHeight="0">
      <c r="A4159" s="0">
        <f>HYPERLINK("https://dl.dropboxusercontent.com/scl/fi/18ei3qdu0ytxszw2liq7z/161021-iowa-gaines-crew-sweatshirt-mens-pd26-hg-t.jpg?rlkey=ufwebo3fp272a5t3or7q9ku0x&amp;dl=0","Click to download Image")</f>
      </c>
      <c r="B4159" s="0">
        <f>HYPERLINK("https://dl.dropboxusercontent.com/scl/fi/lf1pbdqonbdll4wi6x3az/mens-hoodie-size-chartsquincy-crewneck.jpg?rlkey=x3pih2o20onbg0d6mj1xzadsi&amp;dl=0","Click to download SizeChart")</f>
      </c>
      <c r="C4159" s="0" t="inlineStr">
        <is>
          <t>Gaines Men's Fleece Sweatshirt</t>
        </is>
      </c>
      <c r="D4159" s="1">
        <v>161021</v>
      </c>
      <c r="E4159" s="0" t="inlineStr">
        <is>
          <t>IOWA GAINES M HG:161021D-XL</t>
        </is>
      </c>
      <c r="F4159" s="2">
        <v>800161021070</v>
      </c>
      <c r="G4159" s="0" t="inlineStr">
        <is>
          <t>MENS</t>
        </is>
      </c>
      <c r="H4159" s="0" t="inlineStr">
        <is>
          <t>XL</t>
        </is>
      </c>
      <c r="I4159" s="0">
        <v>46.99</v>
      </c>
      <c r="J4159" s="0">
        <v>51</v>
      </c>
    </row>
    <row r="4160" spans="1:10" customHeight="0">
      <c r="A4160" s="0">
        <f>HYPERLINK("https://dl.dropboxusercontent.com/scl/fi/18ei3qdu0ytxszw2liq7z/161021-iowa-gaines-crew-sweatshirt-mens-pd26-hg-t.jpg?rlkey=ufwebo3fp272a5t3or7q9ku0x&amp;dl=0","Click to download Image")</f>
      </c>
      <c r="B4160" s="0">
        <f>HYPERLINK("https://dl.dropboxusercontent.com/scl/fi/lf1pbdqonbdll4wi6x3az/mens-hoodie-size-chartsquincy-crewneck.jpg?rlkey=x3pih2o20onbg0d6mj1xzadsi&amp;dl=0","Click to download SizeChart")</f>
      </c>
      <c r="C4160" s="0" t="inlineStr">
        <is>
          <t>Gaines Men's Fleece Sweatshirt</t>
        </is>
      </c>
      <c r="D4160" s="1">
        <v>161021</v>
      </c>
      <c r="E4160" s="0" t="inlineStr">
        <is>
          <t>IOWA GAINES M HG:161021E-2XL</t>
        </is>
      </c>
      <c r="F4160" s="2">
        <v>800161021087</v>
      </c>
      <c r="G4160" s="0" t="inlineStr">
        <is>
          <t>MENS</t>
        </is>
      </c>
      <c r="H4160" s="0" t="inlineStr">
        <is>
          <t>2XL</t>
        </is>
      </c>
      <c r="I4160" s="0">
        <v>46.99</v>
      </c>
      <c r="J4160" s="0">
        <v>34</v>
      </c>
    </row>
    <row r="4161" spans="1:10" customHeight="0">
      <c r="A4161" s="0">
        <f>HYPERLINK("https://dl.dropboxusercontent.com/scl/fi/18ei3qdu0ytxszw2liq7z/161021-iowa-gaines-crew-sweatshirt-mens-pd26-hg-t.jpg?rlkey=ufwebo3fp272a5t3or7q9ku0x&amp;dl=0","Click to download Image")</f>
      </c>
      <c r="B4161" s="0">
        <f>HYPERLINK("https://dl.dropboxusercontent.com/scl/fi/lf1pbdqonbdll4wi6x3az/mens-hoodie-size-chartsquincy-crewneck.jpg?rlkey=x3pih2o20onbg0d6mj1xzadsi&amp;dl=0","Click to download SizeChart")</f>
      </c>
      <c r="C4161" s="0" t="inlineStr">
        <is>
          <t>Gaines Men's Fleece Sweatshirt</t>
        </is>
      </c>
      <c r="D4161" s="1">
        <v>161021</v>
      </c>
      <c r="E4161" s="0" t="inlineStr">
        <is>
          <t>IOWA GAINES M HG:161021F-3XL</t>
        </is>
      </c>
      <c r="F4161" s="2">
        <v>800161021094</v>
      </c>
      <c r="G4161" s="0" t="inlineStr">
        <is>
          <t>MENS</t>
        </is>
      </c>
      <c r="H4161" s="0" t="inlineStr">
        <is>
          <t>3XL</t>
        </is>
      </c>
      <c r="I4161" s="0">
        <v>46.99</v>
      </c>
      <c r="J4161" s="0">
        <v>17</v>
      </c>
    </row>
    <row r="4162" spans="1:10" customHeight="0">
      <c r="A4162" s="0">
        <f>HYPERLINK("https://dl.dropboxusercontent.com/scl/fi/54en7vek6wmmryeluw6q2/161023-iowa-gibson-hoodie-mens-pd26-t.jpg?rlkey=3setnqz1war4nd5lywam2w2y0&amp;dl=0","Click to download Image")</f>
      </c>
      <c r="B4162" s="0">
        <f>HYPERLINK("https://dl.dropboxusercontent.com/scl/fi/p6a3mr8ilekcamgyk2oeq/mens-hoodie-size-chartsquincy.jpg?rlkey=rlxqpex3ncig1wrd70gler5zw&amp;dl=0","Click to download SizeChart")</f>
      </c>
      <c r="C4162" s="0" t="inlineStr">
        <is>
          <t>Gibson Men's Fleece Hoodie</t>
        </is>
      </c>
      <c r="D4162" s="1">
        <v>161023</v>
      </c>
      <c r="E4162" s="0" t="inlineStr">
        <is>
          <t>IOWA GIBSON M BK:161023A-S</t>
        </is>
      </c>
      <c r="F4162" s="2">
        <v>800161023043</v>
      </c>
      <c r="G4162" s="0" t="inlineStr">
        <is>
          <t>MENS</t>
        </is>
      </c>
      <c r="H4162" s="0" t="inlineStr">
        <is>
          <t>S</t>
        </is>
      </c>
      <c r="I4162" s="0">
        <v>49.99</v>
      </c>
      <c r="J4162" s="0">
        <v>15</v>
      </c>
    </row>
    <row r="4163" spans="1:10" customHeight="0">
      <c r="A4163" s="0">
        <f>HYPERLINK("https://dl.dropboxusercontent.com/scl/fi/54en7vek6wmmryeluw6q2/161023-iowa-gibson-hoodie-mens-pd26-t.jpg?rlkey=3setnqz1war4nd5lywam2w2y0&amp;dl=0","Click to download Image")</f>
      </c>
      <c r="B4163" s="0">
        <f>HYPERLINK("https://dl.dropboxusercontent.com/scl/fi/p6a3mr8ilekcamgyk2oeq/mens-hoodie-size-chartsquincy.jpg?rlkey=rlxqpex3ncig1wrd70gler5zw&amp;dl=0","Click to download SizeChart")</f>
      </c>
      <c r="C4163" s="0" t="inlineStr">
        <is>
          <t>Gibson Men's Fleece Hoodie</t>
        </is>
      </c>
      <c r="D4163" s="1">
        <v>161023</v>
      </c>
      <c r="E4163" s="0" t="inlineStr">
        <is>
          <t>IOWA GIBSON M BK:161023B-M</t>
        </is>
      </c>
      <c r="F4163" s="2">
        <v>800161023050</v>
      </c>
      <c r="G4163" s="0" t="inlineStr">
        <is>
          <t>MENS</t>
        </is>
      </c>
      <c r="H4163" s="0" t="inlineStr">
        <is>
          <t>M</t>
        </is>
      </c>
      <c r="I4163" s="0">
        <v>49.99</v>
      </c>
      <c r="J4163" s="0">
        <v>29</v>
      </c>
    </row>
    <row r="4164" spans="1:10" customHeight="0">
      <c r="A4164" s="0">
        <f>HYPERLINK("https://dl.dropboxusercontent.com/scl/fi/54en7vek6wmmryeluw6q2/161023-iowa-gibson-hoodie-mens-pd26-t.jpg?rlkey=3setnqz1war4nd5lywam2w2y0&amp;dl=0","Click to download Image")</f>
      </c>
      <c r="B4164" s="0">
        <f>HYPERLINK("https://dl.dropboxusercontent.com/scl/fi/p6a3mr8ilekcamgyk2oeq/mens-hoodie-size-chartsquincy.jpg?rlkey=rlxqpex3ncig1wrd70gler5zw&amp;dl=0","Click to download SizeChart")</f>
      </c>
      <c r="C4164" s="0" t="inlineStr">
        <is>
          <t>Gibson Men's Fleece Hoodie</t>
        </is>
      </c>
      <c r="D4164" s="1">
        <v>161023</v>
      </c>
      <c r="E4164" s="0" t="inlineStr">
        <is>
          <t>IOWA GIBSON M BK:161023C-L</t>
        </is>
      </c>
      <c r="F4164" s="2">
        <v>800161023067</v>
      </c>
      <c r="G4164" s="0" t="inlineStr">
        <is>
          <t>MENS</t>
        </is>
      </c>
      <c r="H4164" s="0" t="inlineStr">
        <is>
          <t>L</t>
        </is>
      </c>
      <c r="I4164" s="0">
        <v>49.99</v>
      </c>
      <c r="J4164" s="0">
        <v>45</v>
      </c>
    </row>
    <row r="4165" spans="1:10" customHeight="0">
      <c r="A4165" s="0">
        <f>HYPERLINK("https://dl.dropboxusercontent.com/scl/fi/54en7vek6wmmryeluw6q2/161023-iowa-gibson-hoodie-mens-pd26-t.jpg?rlkey=3setnqz1war4nd5lywam2w2y0&amp;dl=0","Click to download Image")</f>
      </c>
      <c r="B4165" s="0">
        <f>HYPERLINK("https://dl.dropboxusercontent.com/scl/fi/p6a3mr8ilekcamgyk2oeq/mens-hoodie-size-chartsquincy.jpg?rlkey=rlxqpex3ncig1wrd70gler5zw&amp;dl=0","Click to download SizeChart")</f>
      </c>
      <c r="C4165" s="0" t="inlineStr">
        <is>
          <t>Gibson Men's Fleece Hoodie</t>
        </is>
      </c>
      <c r="D4165" s="1">
        <v>161023</v>
      </c>
      <c r="E4165" s="0" t="inlineStr">
        <is>
          <t>IOWA GIBSON M BK:161023D-XL</t>
        </is>
      </c>
      <c r="F4165" s="2">
        <v>800161023074</v>
      </c>
      <c r="G4165" s="0" t="inlineStr">
        <is>
          <t>MENS</t>
        </is>
      </c>
      <c r="H4165" s="0" t="inlineStr">
        <is>
          <t>XL</t>
        </is>
      </c>
      <c r="I4165" s="0">
        <v>49.99</v>
      </c>
      <c r="J4165" s="0">
        <v>44</v>
      </c>
    </row>
    <row r="4166" spans="1:10" customHeight="0">
      <c r="A4166" s="0">
        <f>HYPERLINK("https://dl.dropboxusercontent.com/scl/fi/54en7vek6wmmryeluw6q2/161023-iowa-gibson-hoodie-mens-pd26-t.jpg?rlkey=3setnqz1war4nd5lywam2w2y0&amp;dl=0","Click to download Image")</f>
      </c>
      <c r="B4166" s="0">
        <f>HYPERLINK("https://dl.dropboxusercontent.com/scl/fi/p6a3mr8ilekcamgyk2oeq/mens-hoodie-size-chartsquincy.jpg?rlkey=rlxqpex3ncig1wrd70gler5zw&amp;dl=0","Click to download SizeChart")</f>
      </c>
      <c r="C4166" s="0" t="inlineStr">
        <is>
          <t>Gibson Men's Fleece Hoodie</t>
        </is>
      </c>
      <c r="D4166" s="1">
        <v>161023</v>
      </c>
      <c r="E4166" s="0" t="inlineStr">
        <is>
          <t>IOWA GIBSON M BK:161023E-2XL</t>
        </is>
      </c>
      <c r="F4166" s="2">
        <v>800161023081</v>
      </c>
      <c r="G4166" s="0" t="inlineStr">
        <is>
          <t>MENS</t>
        </is>
      </c>
      <c r="H4166" s="0" t="inlineStr">
        <is>
          <t>2XL</t>
        </is>
      </c>
      <c r="I4166" s="0">
        <v>49.99</v>
      </c>
      <c r="J4166" s="0">
        <v>31</v>
      </c>
    </row>
    <row r="4167" spans="1:10" customHeight="0">
      <c r="A4167" s="0">
        <f>HYPERLINK("https://dl.dropboxusercontent.com/scl/fi/54en7vek6wmmryeluw6q2/161023-iowa-gibson-hoodie-mens-pd26-t.jpg?rlkey=3setnqz1war4nd5lywam2w2y0&amp;dl=0","Click to download Image")</f>
      </c>
      <c r="B4167" s="0">
        <f>HYPERLINK("https://dl.dropboxusercontent.com/scl/fi/p6a3mr8ilekcamgyk2oeq/mens-hoodie-size-chartsquincy.jpg?rlkey=rlxqpex3ncig1wrd70gler5zw&amp;dl=0","Click to download SizeChart")</f>
      </c>
      <c r="C4167" s="0" t="inlineStr">
        <is>
          <t>Gibson Men's Fleece Hoodie</t>
        </is>
      </c>
      <c r="D4167" s="1">
        <v>161023</v>
      </c>
      <c r="E4167" s="0" t="inlineStr">
        <is>
          <t>IOWA GIBSON M BK:161023F-3XL</t>
        </is>
      </c>
      <c r="F4167" s="2">
        <v>800161023098</v>
      </c>
      <c r="G4167" s="0" t="inlineStr">
        <is>
          <t>MENS</t>
        </is>
      </c>
      <c r="H4167" s="0" t="inlineStr">
        <is>
          <t>3XL</t>
        </is>
      </c>
      <c r="I4167" s="0">
        <v>49.99</v>
      </c>
      <c r="J4167" s="0">
        <v>14</v>
      </c>
    </row>
    <row r="4168" spans="1:10" customHeight="0">
      <c r="A4168" s="0">
        <f>HYPERLINK("https://dl.dropboxusercontent.com/scl/fi/70dsuuxbtqa1nf164uhki/161024-iowa-gibson-hoodie-mens-t.jpg?rlkey=fbeuhub3mjyoru7vifdzdyocj&amp;dl=0","Click to download Image")</f>
      </c>
      <c r="B4168" s="0">
        <f>HYPERLINK("https://dl.dropboxusercontent.com/scl/fi/p6a3mr8ilekcamgyk2oeq/mens-hoodie-size-chartsquincy.jpg?rlkey=rlxqpex3ncig1wrd70gler5zw&amp;dl=0","Click to download SizeChart")</f>
      </c>
      <c r="C4168" s="0" t="inlineStr">
        <is>
          <t>Gibson Men's Fleece Hoodie</t>
        </is>
      </c>
      <c r="D4168" s="1">
        <v>161024</v>
      </c>
      <c r="E4168" s="0" t="inlineStr">
        <is>
          <t>IOWA GIBSON M GD:161024A-S</t>
        </is>
      </c>
      <c r="F4168" s="2">
        <v>800161024040</v>
      </c>
      <c r="G4168" s="0" t="inlineStr">
        <is>
          <t>MENS</t>
        </is>
      </c>
      <c r="H4168" s="0" t="inlineStr">
        <is>
          <t>S</t>
        </is>
      </c>
      <c r="I4168" s="0">
        <v>49.99</v>
      </c>
      <c r="J4168" s="0">
        <v>19</v>
      </c>
    </row>
    <row r="4169" spans="1:10" customHeight="0">
      <c r="A4169" s="0">
        <f>HYPERLINK("https://dl.dropboxusercontent.com/scl/fi/70dsuuxbtqa1nf164uhki/161024-iowa-gibson-hoodie-mens-t.jpg?rlkey=fbeuhub3mjyoru7vifdzdyocj&amp;dl=0","Click to download Image")</f>
      </c>
      <c r="B4169" s="0">
        <f>HYPERLINK("https://dl.dropboxusercontent.com/scl/fi/p6a3mr8ilekcamgyk2oeq/mens-hoodie-size-chartsquincy.jpg?rlkey=rlxqpex3ncig1wrd70gler5zw&amp;dl=0","Click to download SizeChart")</f>
      </c>
      <c r="C4169" s="0" t="inlineStr">
        <is>
          <t>Gibson Men's Fleece Hoodie</t>
        </is>
      </c>
      <c r="D4169" s="1">
        <v>161024</v>
      </c>
      <c r="E4169" s="0" t="inlineStr">
        <is>
          <t>IOWA GIBSON M GD:161024B-M</t>
        </is>
      </c>
      <c r="F4169" s="2">
        <v>800161024057</v>
      </c>
      <c r="G4169" s="0" t="inlineStr">
        <is>
          <t>MENS</t>
        </is>
      </c>
      <c r="H4169" s="0" t="inlineStr">
        <is>
          <t>M</t>
        </is>
      </c>
      <c r="I4169" s="0">
        <v>49.99</v>
      </c>
      <c r="J4169" s="0">
        <v>36</v>
      </c>
    </row>
    <row r="4170" spans="1:10" customHeight="0">
      <c r="A4170" s="0">
        <f>HYPERLINK("https://dl.dropboxusercontent.com/scl/fi/70dsuuxbtqa1nf164uhki/161024-iowa-gibson-hoodie-mens-t.jpg?rlkey=fbeuhub3mjyoru7vifdzdyocj&amp;dl=0","Click to download Image")</f>
      </c>
      <c r="B4170" s="0">
        <f>HYPERLINK("https://dl.dropboxusercontent.com/scl/fi/p6a3mr8ilekcamgyk2oeq/mens-hoodie-size-chartsquincy.jpg?rlkey=rlxqpex3ncig1wrd70gler5zw&amp;dl=0","Click to download SizeChart")</f>
      </c>
      <c r="C4170" s="0" t="inlineStr">
        <is>
          <t>Gibson Men's Fleece Hoodie</t>
        </is>
      </c>
      <c r="D4170" s="1">
        <v>161024</v>
      </c>
      <c r="E4170" s="0" t="inlineStr">
        <is>
          <t>IOWA GIBSON M GD:161024C-L</t>
        </is>
      </c>
      <c r="F4170" s="2">
        <v>800161024064</v>
      </c>
      <c r="G4170" s="0" t="inlineStr">
        <is>
          <t>MENS</t>
        </is>
      </c>
      <c r="H4170" s="0" t="inlineStr">
        <is>
          <t>L</t>
        </is>
      </c>
      <c r="I4170" s="0">
        <v>49.99</v>
      </c>
      <c r="J4170" s="0">
        <v>53</v>
      </c>
    </row>
    <row r="4171" spans="1:10" customHeight="0">
      <c r="A4171" s="0">
        <f>HYPERLINK("https://dl.dropboxusercontent.com/scl/fi/70dsuuxbtqa1nf164uhki/161024-iowa-gibson-hoodie-mens-t.jpg?rlkey=fbeuhub3mjyoru7vifdzdyocj&amp;dl=0","Click to download Image")</f>
      </c>
      <c r="B4171" s="0">
        <f>HYPERLINK("https://dl.dropboxusercontent.com/scl/fi/p6a3mr8ilekcamgyk2oeq/mens-hoodie-size-chartsquincy.jpg?rlkey=rlxqpex3ncig1wrd70gler5zw&amp;dl=0","Click to download SizeChart")</f>
      </c>
      <c r="C4171" s="0" t="inlineStr">
        <is>
          <t>Gibson Men's Fleece Hoodie</t>
        </is>
      </c>
      <c r="D4171" s="1">
        <v>161024</v>
      </c>
      <c r="E4171" s="0" t="inlineStr">
        <is>
          <t>IOWA GIBSON M GD:161024D-XL</t>
        </is>
      </c>
      <c r="F4171" s="2">
        <v>800161024071</v>
      </c>
      <c r="G4171" s="0" t="inlineStr">
        <is>
          <t>MENS</t>
        </is>
      </c>
      <c r="H4171" s="0" t="inlineStr">
        <is>
          <t>XL</t>
        </is>
      </c>
      <c r="I4171" s="0">
        <v>49.99</v>
      </c>
      <c r="J4171" s="0">
        <v>54</v>
      </c>
    </row>
    <row r="4172" spans="1:10" customHeight="0">
      <c r="A4172" s="0">
        <f>HYPERLINK("https://dl.dropboxusercontent.com/scl/fi/70dsuuxbtqa1nf164uhki/161024-iowa-gibson-hoodie-mens-t.jpg?rlkey=fbeuhub3mjyoru7vifdzdyocj&amp;dl=0","Click to download Image")</f>
      </c>
      <c r="B4172" s="0">
        <f>HYPERLINK("https://dl.dropboxusercontent.com/scl/fi/p6a3mr8ilekcamgyk2oeq/mens-hoodie-size-chartsquincy.jpg?rlkey=rlxqpex3ncig1wrd70gler5zw&amp;dl=0","Click to download SizeChart")</f>
      </c>
      <c r="C4172" s="0" t="inlineStr">
        <is>
          <t>Gibson Men's Fleece Hoodie</t>
        </is>
      </c>
      <c r="D4172" s="1">
        <v>161024</v>
      </c>
      <c r="E4172" s="0" t="inlineStr">
        <is>
          <t>IOWA GIBSON M GD:161024E-2XL</t>
        </is>
      </c>
      <c r="F4172" s="2">
        <v>800161024088</v>
      </c>
      <c r="G4172" s="0" t="inlineStr">
        <is>
          <t>MENS</t>
        </is>
      </c>
      <c r="H4172" s="0" t="inlineStr">
        <is>
          <t>2XL</t>
        </is>
      </c>
      <c r="I4172" s="0">
        <v>49.99</v>
      </c>
      <c r="J4172" s="0">
        <v>35</v>
      </c>
    </row>
    <row r="4173" spans="1:10" customHeight="0">
      <c r="A4173" s="0">
        <f>HYPERLINK("https://dl.dropboxusercontent.com/scl/fi/70dsuuxbtqa1nf164uhki/161024-iowa-gibson-hoodie-mens-t.jpg?rlkey=fbeuhub3mjyoru7vifdzdyocj&amp;dl=0","Click to download Image")</f>
      </c>
      <c r="B4173" s="0">
        <f>HYPERLINK("https://dl.dropboxusercontent.com/scl/fi/p6a3mr8ilekcamgyk2oeq/mens-hoodie-size-chartsquincy.jpg?rlkey=rlxqpex3ncig1wrd70gler5zw&amp;dl=0","Click to download SizeChart")</f>
      </c>
      <c r="C4173" s="0" t="inlineStr">
        <is>
          <t>Gibson Men's Fleece Hoodie</t>
        </is>
      </c>
      <c r="D4173" s="1">
        <v>161024</v>
      </c>
      <c r="E4173" s="0" t="inlineStr">
        <is>
          <t>IOWA GIBSON M GD:161024F-3XL</t>
        </is>
      </c>
      <c r="F4173" s="2">
        <v>800161024095</v>
      </c>
      <c r="G4173" s="0" t="inlineStr">
        <is>
          <t>MENS</t>
        </is>
      </c>
      <c r="H4173" s="0" t="inlineStr">
        <is>
          <t>3XL</t>
        </is>
      </c>
      <c r="I4173" s="0">
        <v>49.99</v>
      </c>
      <c r="J4173" s="0">
        <v>17</v>
      </c>
    </row>
    <row r="4174" spans="1:10" customHeight="0">
      <c r="A4174" s="0">
        <f>HYPERLINK("https://dl.dropboxusercontent.com/scl/fi/dpj313btstd8pcvkkgwql/161025-iowa-gibson-hoodie-mens-t.jpg?rlkey=hiwb0cdpywn22c0aznhumxxbe&amp;dl=0","Click to download Image")</f>
      </c>
      <c r="B4174" s="0">
        <f>HYPERLINK("https://dl.dropboxusercontent.com/scl/fi/p6a3mr8ilekcamgyk2oeq/mens-hoodie-size-chartsquincy.jpg?rlkey=rlxqpex3ncig1wrd70gler5zw&amp;dl=0","Click to download SizeChart")</f>
      </c>
      <c r="C4174" s="0" t="inlineStr">
        <is>
          <t>Gibson Men's Fleece Hoodie</t>
        </is>
      </c>
      <c r="D4174" s="1">
        <v>161025</v>
      </c>
      <c r="E4174" s="0" t="inlineStr">
        <is>
          <t>IOWA GIBSON M HG:161025A-S</t>
        </is>
      </c>
      <c r="F4174" s="2">
        <v>800161025047</v>
      </c>
      <c r="G4174" s="0" t="inlineStr">
        <is>
          <t>MENS</t>
        </is>
      </c>
      <c r="H4174" s="0" t="inlineStr">
        <is>
          <t>S</t>
        </is>
      </c>
      <c r="I4174" s="0">
        <v>49.99</v>
      </c>
      <c r="J4174" s="0">
        <v>17</v>
      </c>
    </row>
    <row r="4175" spans="1:10" customHeight="0">
      <c r="A4175" s="0">
        <f>HYPERLINK("https://dl.dropboxusercontent.com/scl/fi/dpj313btstd8pcvkkgwql/161025-iowa-gibson-hoodie-mens-t.jpg?rlkey=hiwb0cdpywn22c0aznhumxxbe&amp;dl=0","Click to download Image")</f>
      </c>
      <c r="B4175" s="0">
        <f>HYPERLINK("https://dl.dropboxusercontent.com/scl/fi/p6a3mr8ilekcamgyk2oeq/mens-hoodie-size-chartsquincy.jpg?rlkey=rlxqpex3ncig1wrd70gler5zw&amp;dl=0","Click to download SizeChart")</f>
      </c>
      <c r="C4175" s="0" t="inlineStr">
        <is>
          <t>Gibson Men's Fleece Hoodie</t>
        </is>
      </c>
      <c r="D4175" s="1">
        <v>161025</v>
      </c>
      <c r="E4175" s="0" t="inlineStr">
        <is>
          <t>IOWA GIBSON M HG:161025B-M</t>
        </is>
      </c>
      <c r="F4175" s="2">
        <v>800161025054</v>
      </c>
      <c r="G4175" s="0" t="inlineStr">
        <is>
          <t>MENS</t>
        </is>
      </c>
      <c r="H4175" s="0" t="inlineStr">
        <is>
          <t>M</t>
        </is>
      </c>
      <c r="I4175" s="0">
        <v>49.99</v>
      </c>
      <c r="J4175" s="0">
        <v>34</v>
      </c>
    </row>
    <row r="4176" spans="1:10" customHeight="0">
      <c r="A4176" s="0">
        <f>HYPERLINK("https://dl.dropboxusercontent.com/scl/fi/dpj313btstd8pcvkkgwql/161025-iowa-gibson-hoodie-mens-t.jpg?rlkey=hiwb0cdpywn22c0aznhumxxbe&amp;dl=0","Click to download Image")</f>
      </c>
      <c r="B4176" s="0">
        <f>HYPERLINK("https://dl.dropboxusercontent.com/scl/fi/p6a3mr8ilekcamgyk2oeq/mens-hoodie-size-chartsquincy.jpg?rlkey=rlxqpex3ncig1wrd70gler5zw&amp;dl=0","Click to download SizeChart")</f>
      </c>
      <c r="C4176" s="0" t="inlineStr">
        <is>
          <t>Gibson Men's Fleece Hoodie</t>
        </is>
      </c>
      <c r="D4176" s="1">
        <v>161025</v>
      </c>
      <c r="E4176" s="0" t="inlineStr">
        <is>
          <t>IOWA GIBSON M HG:161025C-L</t>
        </is>
      </c>
      <c r="F4176" s="2">
        <v>800161025061</v>
      </c>
      <c r="G4176" s="0" t="inlineStr">
        <is>
          <t>MENS</t>
        </is>
      </c>
      <c r="H4176" s="0" t="inlineStr">
        <is>
          <t>L</t>
        </is>
      </c>
      <c r="I4176" s="0">
        <v>49.99</v>
      </c>
      <c r="J4176" s="0">
        <v>52</v>
      </c>
    </row>
    <row r="4177" spans="1:10" customHeight="0">
      <c r="A4177" s="0">
        <f>HYPERLINK("https://dl.dropboxusercontent.com/scl/fi/dpj313btstd8pcvkkgwql/161025-iowa-gibson-hoodie-mens-t.jpg?rlkey=hiwb0cdpywn22c0aznhumxxbe&amp;dl=0","Click to download Image")</f>
      </c>
      <c r="B4177" s="0">
        <f>HYPERLINK("https://dl.dropboxusercontent.com/scl/fi/p6a3mr8ilekcamgyk2oeq/mens-hoodie-size-chartsquincy.jpg?rlkey=rlxqpex3ncig1wrd70gler5zw&amp;dl=0","Click to download SizeChart")</f>
      </c>
      <c r="C4177" s="0" t="inlineStr">
        <is>
          <t>Gibson Men's Fleece Hoodie</t>
        </is>
      </c>
      <c r="D4177" s="1">
        <v>161025</v>
      </c>
      <c r="E4177" s="0" t="inlineStr">
        <is>
          <t>IOWA GIBSON M HG:161025D-XL</t>
        </is>
      </c>
      <c r="F4177" s="2">
        <v>800161025078</v>
      </c>
      <c r="G4177" s="0" t="inlineStr">
        <is>
          <t>MENS</t>
        </is>
      </c>
      <c r="H4177" s="0" t="inlineStr">
        <is>
          <t>XL</t>
        </is>
      </c>
      <c r="I4177" s="0">
        <v>49.99</v>
      </c>
      <c r="J4177" s="0">
        <v>52</v>
      </c>
    </row>
    <row r="4178" spans="1:10" customHeight="0">
      <c r="A4178" s="0">
        <f>HYPERLINK("https://dl.dropboxusercontent.com/scl/fi/dpj313btstd8pcvkkgwql/161025-iowa-gibson-hoodie-mens-t.jpg?rlkey=hiwb0cdpywn22c0aznhumxxbe&amp;dl=0","Click to download Image")</f>
      </c>
      <c r="B4178" s="0">
        <f>HYPERLINK("https://dl.dropboxusercontent.com/scl/fi/p6a3mr8ilekcamgyk2oeq/mens-hoodie-size-chartsquincy.jpg?rlkey=rlxqpex3ncig1wrd70gler5zw&amp;dl=0","Click to download SizeChart")</f>
      </c>
      <c r="C4178" s="0" t="inlineStr">
        <is>
          <t>Gibson Men's Fleece Hoodie</t>
        </is>
      </c>
      <c r="D4178" s="1">
        <v>161025</v>
      </c>
      <c r="E4178" s="0" t="inlineStr">
        <is>
          <t>IOWA GIBSON M HG:161025E-2XL</t>
        </is>
      </c>
      <c r="F4178" s="2">
        <v>800161025085</v>
      </c>
      <c r="G4178" s="0" t="inlineStr">
        <is>
          <t>MENS</t>
        </is>
      </c>
      <c r="H4178" s="0" t="inlineStr">
        <is>
          <t>2XL</t>
        </is>
      </c>
      <c r="I4178" s="0">
        <v>49.99</v>
      </c>
      <c r="J4178" s="0">
        <v>36</v>
      </c>
    </row>
    <row r="4179" spans="1:10" customHeight="0">
      <c r="A4179" s="0">
        <f>HYPERLINK("https://dl.dropboxusercontent.com/scl/fi/dpj313btstd8pcvkkgwql/161025-iowa-gibson-hoodie-mens-t.jpg?rlkey=hiwb0cdpywn22c0aznhumxxbe&amp;dl=0","Click to download Image")</f>
      </c>
      <c r="B4179" s="0">
        <f>HYPERLINK("https://dl.dropboxusercontent.com/scl/fi/p6a3mr8ilekcamgyk2oeq/mens-hoodie-size-chartsquincy.jpg?rlkey=rlxqpex3ncig1wrd70gler5zw&amp;dl=0","Click to download SizeChart")</f>
      </c>
      <c r="C4179" s="0" t="inlineStr">
        <is>
          <t>Gibson Men's Fleece Hoodie</t>
        </is>
      </c>
      <c r="D4179" s="1">
        <v>161025</v>
      </c>
      <c r="E4179" s="0" t="inlineStr">
        <is>
          <t>IOWA GIBSON M HG:161025F-3XL</t>
        </is>
      </c>
      <c r="F4179" s="2">
        <v>800161025092</v>
      </c>
      <c r="G4179" s="0" t="inlineStr">
        <is>
          <t>MENS</t>
        </is>
      </c>
      <c r="H4179" s="0" t="inlineStr">
        <is>
          <t>3XL</t>
        </is>
      </c>
      <c r="I4179" s="0">
        <v>49.99</v>
      </c>
      <c r="J4179" s="0">
        <v>18</v>
      </c>
    </row>
    <row r="4180" spans="1:10" customHeight="0">
      <c r="A4180" s="0">
        <f>HYPERLINK("https://dl.dropboxusercontent.com/scl/fi/kg1ib0sikn4kpcs32ep7s/160786-iowa-cult-cap-1-bk-t.jpg?rlkey=dkycse51yttok9b5xxgzppcnf&amp;dl=0","Click to download Image")</f>
      </c>
      <c r="C4180" s="0" t="inlineStr">
        <is>
          <t>Colt 1 Men's Cap</t>
        </is>
      </c>
      <c r="D4180" s="1">
        <v>160786</v>
      </c>
      <c r="E4180" s="0" t="inlineStr">
        <is>
          <t>IOWA COLT 1 BK:160786</t>
        </is>
      </c>
      <c r="F4180" s="2">
        <v>700160786003</v>
      </c>
      <c r="G4180" s="0" t="inlineStr">
        <is>
          <t>MENS</t>
        </is>
      </c>
      <c r="H4180" s="0" t="inlineStr">
        <is>
          <t>STANDARD:58CM</t>
        </is>
      </c>
      <c r="I4180" s="0">
        <v>24.99</v>
      </c>
      <c r="J4180" s="0">
        <v>116</v>
      </c>
    </row>
    <row r="4181" spans="1:10" customHeight="0">
      <c r="A4181" s="0">
        <f>HYPERLINK("https://dl.dropboxusercontent.com/scl/fi/i1wv798atqwj95b3ht2b1/160788-iowa-colt-t.jpg?rlkey=tlvrcs312nsy7kuyanfyzktla&amp;dl=0","Click to download Image")</f>
      </c>
      <c r="C4181" s="0" t="inlineStr">
        <is>
          <t>Colt 3 Men's Cap</t>
        </is>
      </c>
      <c r="D4181" s="1">
        <v>160788</v>
      </c>
      <c r="E4181" s="0" t="inlineStr">
        <is>
          <t>IOWA COLT 3 BK:160788</t>
        </is>
      </c>
      <c r="F4181" s="2">
        <v>700160788007</v>
      </c>
      <c r="G4181" s="0" t="inlineStr">
        <is>
          <t>MENS</t>
        </is>
      </c>
      <c r="H4181" s="0" t="inlineStr">
        <is>
          <t>STANDARD:58CM</t>
        </is>
      </c>
      <c r="I4181" s="0">
        <v>24.99</v>
      </c>
      <c r="J4181" s="0">
        <v>118</v>
      </c>
    </row>
    <row r="4182" spans="1:10" customHeight="0">
      <c r="A4182" s="0">
        <f>HYPERLINK("https://dl.dropboxusercontent.com/scl/fi/gh2sn4foyhnflxjpzhf95/160789-iowa-colt-t.jpg?rlkey=6jpeeaap1mswqft1lprx3hn9n&amp;dl=0","Click to download Image")</f>
      </c>
      <c r="C4182" s="0" t="inlineStr">
        <is>
          <t>Colt 4 Men's Cap</t>
        </is>
      </c>
      <c r="D4182" s="1">
        <v>160789</v>
      </c>
      <c r="E4182" s="0" t="inlineStr">
        <is>
          <t>IOWA COLT 4 GY:160789</t>
        </is>
      </c>
      <c r="F4182" s="2">
        <v>700160789004</v>
      </c>
      <c r="G4182" s="0" t="inlineStr">
        <is>
          <t>MENS</t>
        </is>
      </c>
      <c r="H4182" s="0" t="inlineStr">
        <is>
          <t>STANDARD:58CM</t>
        </is>
      </c>
      <c r="I4182" s="0">
        <v>24.99</v>
      </c>
      <c r="J4182" s="0">
        <v>118</v>
      </c>
    </row>
    <row r="4183" spans="1:10" customHeight="0">
      <c r="A4183" s="0">
        <f>HYPERLINK("https://dl.dropboxusercontent.com/scl/fi/rrojkj1nt4almtfq4ozqz/160790-iowa-colt-t.jpg?rlkey=piwt02zz8aoq0a3zemd5wd0dt&amp;dl=0","Click to download Image")</f>
      </c>
      <c r="C4183" s="0" t="inlineStr">
        <is>
          <t>Colt 5 Men's Cap</t>
        </is>
      </c>
      <c r="D4183" s="1">
        <v>160790</v>
      </c>
      <c r="E4183" s="0" t="inlineStr">
        <is>
          <t>IOWA COLT 5 BK:160790</t>
        </is>
      </c>
      <c r="F4183" s="2">
        <v>700160790000</v>
      </c>
      <c r="G4183" s="0" t="inlineStr">
        <is>
          <t>MENS</t>
        </is>
      </c>
      <c r="H4183" s="0" t="inlineStr">
        <is>
          <t>STANDARD:58CM</t>
        </is>
      </c>
      <c r="I4183" s="0">
        <v>24.99</v>
      </c>
      <c r="J4183" s="0">
        <v>118</v>
      </c>
    </row>
    <row r="4184" spans="1:10" customHeight="0">
      <c r="A4184" s="0">
        <f>HYPERLINK("https://dl.dropboxusercontent.com/scl/fi/ungq5a5ze5paho1ufdqpl/160791-iowa-colt-cap-6-gd-t.jpg?rlkey=2a88mqk187c63yjnhjxbxi95e&amp;dl=0","Click to download Image")</f>
      </c>
      <c r="C4184" s="0" t="inlineStr">
        <is>
          <t>Colt 6 Men's Cap</t>
        </is>
      </c>
      <c r="D4184" s="1">
        <v>160791</v>
      </c>
      <c r="E4184" s="0" t="inlineStr">
        <is>
          <t>IOWA COLT 6 GD:160791</t>
        </is>
      </c>
      <c r="F4184" s="2">
        <v>700160791007</v>
      </c>
      <c r="G4184" s="0" t="inlineStr">
        <is>
          <t>MENS</t>
        </is>
      </c>
      <c r="H4184" s="0" t="inlineStr">
        <is>
          <t>STANDARD:58CM</t>
        </is>
      </c>
      <c r="I4184" s="0">
        <v>24.99</v>
      </c>
      <c r="J4184" s="0">
        <v>110</v>
      </c>
    </row>
    <row r="4185" spans="1:10" customHeight="0">
      <c r="A4185" s="0">
        <f>HYPERLINK("https://dl.dropboxusercontent.com/scl/fi/sojrhn6fig0k7a2w95tq1/160949-isu-ivan-beanie-t.jpg?rlkey=0b7cj7vklqtrkkshxtawpvndl&amp;dl=0","Click to download Image")</f>
      </c>
      <c r="C4185" s="0" t="inlineStr">
        <is>
          <t>Ivan 1 Men's Beanie</t>
        </is>
      </c>
      <c r="D4185" s="1">
        <v>160949</v>
      </c>
      <c r="E4185" s="0" t="inlineStr">
        <is>
          <t>IOWA IVAN 1 GD:160949</t>
        </is>
      </c>
      <c r="F4185" s="2">
        <v>700160949019</v>
      </c>
      <c r="G4185" s="0" t="inlineStr">
        <is>
          <t>MENS</t>
        </is>
      </c>
      <c r="H4185" s="0" t="inlineStr">
        <is>
          <t>ADULT</t>
        </is>
      </c>
      <c r="I4185" s="0">
        <v>24.99</v>
      </c>
      <c r="J4185" s="0">
        <v>118</v>
      </c>
    </row>
    <row r="4186" spans="1:10" customHeight="0">
      <c r="A4186" s="0">
        <f>HYPERLINK("https://dl.dropboxusercontent.com/scl/fi/uvxgllg65p9hy440ehm1s/160950-iowa-ivan-beanie-t.jpg?rlkey=6cjlwdbddlbacs2kyjfoqevvu&amp;dl=0","Click to download Image")</f>
      </c>
      <c r="C4186" s="0" t="inlineStr">
        <is>
          <t>Ivan 2 Men's Beanie</t>
        </is>
      </c>
      <c r="D4186" s="1">
        <v>160950</v>
      </c>
      <c r="E4186" s="0" t="inlineStr">
        <is>
          <t>IOWA IVAN 2 BK:160950</t>
        </is>
      </c>
      <c r="F4186" s="2">
        <v>700160950015</v>
      </c>
      <c r="G4186" s="0" t="inlineStr">
        <is>
          <t>MENS</t>
        </is>
      </c>
      <c r="H4186" s="0" t="inlineStr">
        <is>
          <t>ADULT</t>
        </is>
      </c>
      <c r="I4186" s="0">
        <v>24.99</v>
      </c>
      <c r="J4186" s="0">
        <v>118</v>
      </c>
    </row>
    <row r="4187" spans="1:10" customHeight="0">
      <c r="A4187" s="0">
        <f>HYPERLINK("https://dl.dropboxusercontent.com/scl/fi/k2vv8o5lckf6dxm8xn5p7/160951-isu-ivan-beanie-t.jpg?rlkey=n22qivwbuab6kw7tlex0kz718&amp;dl=0","Click to download Image")</f>
      </c>
      <c r="C4187" s="0" t="inlineStr">
        <is>
          <t>Ivan 3 Men's Beanie</t>
        </is>
      </c>
      <c r="D4187" s="1">
        <v>160951</v>
      </c>
      <c r="E4187" s="0" t="inlineStr">
        <is>
          <t>IOWA IVAN 3 BK:160951</t>
        </is>
      </c>
      <c r="F4187" s="2">
        <v>700160951012</v>
      </c>
      <c r="G4187" s="0" t="inlineStr">
        <is>
          <t>MENS</t>
        </is>
      </c>
      <c r="H4187" s="0" t="inlineStr">
        <is>
          <t>ADULT</t>
        </is>
      </c>
      <c r="I4187" s="0">
        <v>24.99</v>
      </c>
      <c r="J4187" s="0">
        <v>118</v>
      </c>
    </row>
    <row r="4188" spans="1:10" customHeight="0">
      <c r="A4188" s="0">
        <f>HYPERLINK("https://dl.dropboxusercontent.com/scl/fi/i1hdmluxxn08d21bbo581/160952-iowa-ivan-beanie-t.jpg?rlkey=y44y4oavbh88vh3f63uh3xfsc&amp;dl=0","Click to download Image")</f>
      </c>
      <c r="C4188" s="0" t="inlineStr">
        <is>
          <t>Ivan 4 Men's Beanie</t>
        </is>
      </c>
      <c r="D4188" s="1">
        <v>160952</v>
      </c>
      <c r="E4188" s="0" t="inlineStr">
        <is>
          <t>IOWA IVAN 4 BK:160952</t>
        </is>
      </c>
      <c r="F4188" s="2">
        <v>700160952019</v>
      </c>
      <c r="G4188" s="0" t="inlineStr">
        <is>
          <t>MENS</t>
        </is>
      </c>
      <c r="H4188" s="0" t="inlineStr">
        <is>
          <t>ADULT</t>
        </is>
      </c>
      <c r="I4188" s="0">
        <v>24.99</v>
      </c>
      <c r="J4188" s="0">
        <v>116</v>
      </c>
    </row>
    <row r="4189" spans="1:10" customHeight="0">
      <c r="A4189" s="0">
        <f>HYPERLINK("https://dl.dropboxusercontent.com/scl/fi/2jz4uv0hvjie016tqlnft/160953-iowa-ivan-beanie-t.jpg?rlkey=p4wttbeeghsgbamahax6bzr7y&amp;dl=0","Click to download Image")</f>
      </c>
      <c r="C4189" s="0" t="inlineStr">
        <is>
          <t>Ivan 5 Men's Beanie</t>
        </is>
      </c>
      <c r="D4189" s="1">
        <v>160953</v>
      </c>
      <c r="E4189" s="0" t="inlineStr">
        <is>
          <t>IOWA IVAN 5 BK:160953</t>
        </is>
      </c>
      <c r="F4189" s="2">
        <v>700160953016</v>
      </c>
      <c r="G4189" s="0" t="inlineStr">
        <is>
          <t>MENS</t>
        </is>
      </c>
      <c r="H4189" s="0" t="inlineStr">
        <is>
          <t>ADULT</t>
        </is>
      </c>
      <c r="I4189" s="0">
        <v>24.99</v>
      </c>
      <c r="J4189" s="0">
        <v>117</v>
      </c>
    </row>
    <row r="4190" spans="1:10" customHeight="0">
      <c r="A4190" s="0">
        <f>HYPERLINK("https://dl.dropboxusercontent.com/scl/fi/4zn0k3hogfna83macw0qr/160954-iowa-ivan-beanie-t.jpg?rlkey=d0anur2b5d2rp6djv6ii2798u&amp;dl=0","Click to download Image")</f>
      </c>
      <c r="C4190" s="0" t="inlineStr">
        <is>
          <t>Ivan 6 Men's Beanie</t>
        </is>
      </c>
      <c r="D4190" s="1">
        <v>160954</v>
      </c>
      <c r="E4190" s="0" t="inlineStr">
        <is>
          <t>IOWA IVAN 6 GY:160954</t>
        </is>
      </c>
      <c r="F4190" s="2">
        <v>700160954013</v>
      </c>
      <c r="G4190" s="0" t="inlineStr">
        <is>
          <t>MENS</t>
        </is>
      </c>
      <c r="H4190" s="0" t="inlineStr">
        <is>
          <t>ADULT</t>
        </is>
      </c>
      <c r="I4190" s="0">
        <v>24.99</v>
      </c>
      <c r="J4190" s="0">
        <v>118</v>
      </c>
    </row>
    <row r="4191" spans="1:10" customHeight="0">
      <c r="A4191" s="0">
        <f>HYPERLINK("https://dl.dropboxusercontent.com/scl/fi/6aq5r2puzq6s3c5jkjxq9/160969-iowa-hudson-cap-2-t.jpg?rlkey=zknu3sg4unlipyb053p3erf4r&amp;dl=0","Click to download Image")</f>
      </c>
      <c r="C4191" s="0" t="inlineStr">
        <is>
          <t>Hudson 2 Men's Cap</t>
        </is>
      </c>
      <c r="D4191" s="1">
        <v>160969</v>
      </c>
      <c r="E4191" s="0" t="inlineStr">
        <is>
          <t>IOWA HUDSON 2 WE:160969</t>
        </is>
      </c>
      <c r="F4191" s="2">
        <v>700160969000</v>
      </c>
      <c r="G4191" s="0" t="inlineStr">
        <is>
          <t>MENS</t>
        </is>
      </c>
      <c r="H4191" s="0" t="inlineStr">
        <is>
          <t>STANDARD:58CM</t>
        </is>
      </c>
      <c r="I4191" s="0">
        <v>29.99</v>
      </c>
      <c r="J4191" s="0">
        <v>18</v>
      </c>
    </row>
    <row r="4192" spans="1:10" customHeight="0">
      <c r="A4192" s="0">
        <f>HYPERLINK("https://dl.dropboxusercontent.com/scl/fi/f9h6zmfrxsdfpjaqxhzcn/160970-iowa-hudson-cap-3-we-t.jpg?rlkey=ky7dnqb4v0eo201o40j7nvxlw&amp;dl=0","Click to download Image")</f>
      </c>
      <c r="C4192" s="0" t="inlineStr">
        <is>
          <t>Hudson 3 Men's Cap</t>
        </is>
      </c>
      <c r="D4192" s="1">
        <v>160970</v>
      </c>
      <c r="E4192" s="0" t="inlineStr">
        <is>
          <t>IOWA HUDSON 3 WE:160970</t>
        </is>
      </c>
      <c r="F4192" s="2">
        <v>700160970006</v>
      </c>
      <c r="G4192" s="0" t="inlineStr">
        <is>
          <t>MENS</t>
        </is>
      </c>
      <c r="H4192" s="0" t="inlineStr">
        <is>
          <t>STANDARD:58CM</t>
        </is>
      </c>
      <c r="I4192" s="0">
        <v>29.99</v>
      </c>
      <c r="J4192" s="0">
        <v>8</v>
      </c>
    </row>
    <row r="4193" spans="1:10" customHeight="0">
      <c r="A4193" s="0">
        <f>HYPERLINK("https://dl.dropboxusercontent.com/scl/fi/my7mvptm18g26mpezxz0a/160971-iowa-hudson-cap-4-gy-t.jpg?rlkey=rfpq9e1l4fmppptqg64zvsniq&amp;dl=0","Click to download Image")</f>
      </c>
      <c r="C4193" s="0" t="inlineStr">
        <is>
          <t>Hudson 4 Men's Cap</t>
        </is>
      </c>
      <c r="D4193" s="1">
        <v>160971</v>
      </c>
      <c r="E4193" s="0" t="inlineStr">
        <is>
          <t>IOWA HUDSON 4 GY:160971</t>
        </is>
      </c>
      <c r="F4193" s="2">
        <v>700160971003</v>
      </c>
      <c r="G4193" s="0" t="inlineStr">
        <is>
          <t>MENS</t>
        </is>
      </c>
      <c r="H4193" s="0" t="inlineStr">
        <is>
          <t>STANDARD:58CM</t>
        </is>
      </c>
      <c r="I4193" s="0">
        <v>29.99</v>
      </c>
      <c r="J4193" s="0">
        <v>6</v>
      </c>
    </row>
    <row r="4194" spans="1:10" customHeight="0">
      <c r="A4194" s="0">
        <f>HYPERLINK("https://dl.dropboxusercontent.com/scl/fi/mqa94dqlalm9wnl39okma/160972-iowa-hudson-t.jpg?rlkey=33nf675wduijf3laemzy7cqbv&amp;dl=0","Click to download Image")</f>
      </c>
      <c r="C4194" s="0" t="inlineStr">
        <is>
          <t>Hudson 5 Men's Cap</t>
        </is>
      </c>
      <c r="D4194" s="1">
        <v>160972</v>
      </c>
      <c r="E4194" s="0" t="inlineStr">
        <is>
          <t>IOWA HUDSON 5 GY:160972</t>
        </is>
      </c>
      <c r="F4194" s="2">
        <v>700160972000</v>
      </c>
      <c r="G4194" s="0" t="inlineStr">
        <is>
          <t>MENS</t>
        </is>
      </c>
      <c r="H4194" s="0" t="inlineStr">
        <is>
          <t>STANDARD:58CM</t>
        </is>
      </c>
      <c r="I4194" s="0">
        <v>29.99</v>
      </c>
      <c r="J4194" s="0">
        <v>18</v>
      </c>
    </row>
    <row r="4195" spans="1:10" customHeight="0">
      <c r="A4195" s="0">
        <f>HYPERLINK("https://dl.dropboxusercontent.com/scl/fi/uhjag8h0ivsmg62jbci1a/160973-iowa-hudson-cap-6-co-t.jpg?rlkey=787hizkf2vdh9ob6bidwqi83t&amp;dl=0","Click to download Image")</f>
      </c>
      <c r="C4195" s="0" t="inlineStr">
        <is>
          <t>Hudson 6 Men's Cap</t>
        </is>
      </c>
      <c r="D4195" s="1">
        <v>160973</v>
      </c>
      <c r="E4195" s="0" t="inlineStr">
        <is>
          <t>IOWA HUDSON 6 CO:160973</t>
        </is>
      </c>
      <c r="F4195" s="2">
        <v>700160973007</v>
      </c>
      <c r="G4195" s="0" t="inlineStr">
        <is>
          <t>MENS</t>
        </is>
      </c>
      <c r="H4195" s="0" t="inlineStr">
        <is>
          <t>STANDARD:58CM</t>
        </is>
      </c>
      <c r="I4195" s="0">
        <v>29.99</v>
      </c>
      <c r="J4195" s="0">
        <v>12</v>
      </c>
    </row>
    <row r="4196" spans="1:10" customHeight="0">
      <c r="A4196" s="0">
        <f>HYPERLINK("https://dl.dropboxusercontent.com/scl/fi/d0f6ytzify0cxaz5xww1l/mock-163215-iowa-elizabeth-w-gy-v1-03.jpg?rlkey=cz7lg11s6qfpc6xmh62ic3x55&amp;dl=0","Click to download Image")</f>
      </c>
      <c r="B4196" s="0">
        <f>HYPERLINK("https://dl.dropboxusercontent.com/scl/fi/trwocz9i0fqg57esizvij/womens-polo-size-chartselizabeth.jpg?rlkey=1nj69lubjtmq3k9lh2ky3qkl1&amp;dl=0","Click to download SizeChart")</f>
      </c>
      <c r="C4196" s="0" t="inlineStr">
        <is>
          <t>Elizabeth Women's Sleeveless Polo</t>
        </is>
      </c>
      <c r="D4196" s="1">
        <v>163215</v>
      </c>
      <c r="E4196" s="0" t="inlineStr">
        <is>
          <t>IOWA ELIZABETH W GY:163215A-S</t>
        </is>
      </c>
      <c r="F4196" s="2">
        <v>800163215040</v>
      </c>
      <c r="G4196" s="0" t="inlineStr">
        <is>
          <t>WOMENS</t>
        </is>
      </c>
      <c r="H4196" s="0" t="inlineStr">
        <is>
          <t>S</t>
        </is>
      </c>
      <c r="I4196" s="0">
        <v>39.99</v>
      </c>
      <c r="J4196" s="0">
        <v>11</v>
      </c>
    </row>
    <row r="4197" spans="1:10" customHeight="0">
      <c r="A4197" s="0">
        <f>HYPERLINK("https://dl.dropboxusercontent.com/scl/fi/d0f6ytzify0cxaz5xww1l/mock-163215-iowa-elizabeth-w-gy-v1-03.jpg?rlkey=cz7lg11s6qfpc6xmh62ic3x55&amp;dl=0","Click to download Image")</f>
      </c>
      <c r="B4197" s="0">
        <f>HYPERLINK("https://dl.dropboxusercontent.com/scl/fi/trwocz9i0fqg57esizvij/womens-polo-size-chartselizabeth.jpg?rlkey=1nj69lubjtmq3k9lh2ky3qkl1&amp;dl=0","Click to download SizeChart")</f>
      </c>
      <c r="C4197" s="0" t="inlineStr">
        <is>
          <t>Elizabeth Women's Sleeveless Polo</t>
        </is>
      </c>
      <c r="D4197" s="1">
        <v>163215</v>
      </c>
      <c r="E4197" s="0" t="inlineStr">
        <is>
          <t>IOWA ELIZABETH W GY:163215B-M</t>
        </is>
      </c>
      <c r="F4197" s="2">
        <v>800163215057</v>
      </c>
      <c r="G4197" s="0" t="inlineStr">
        <is>
          <t>WOMENS</t>
        </is>
      </c>
      <c r="H4197" s="0" t="inlineStr">
        <is>
          <t>M</t>
        </is>
      </c>
      <c r="I4197" s="0">
        <v>39.99</v>
      </c>
      <c r="J4197" s="0">
        <v>26</v>
      </c>
    </row>
    <row r="4198" spans="1:10" customHeight="0">
      <c r="A4198" s="0">
        <f>HYPERLINK("https://dl.dropboxusercontent.com/scl/fi/d0f6ytzify0cxaz5xww1l/mock-163215-iowa-elizabeth-w-gy-v1-03.jpg?rlkey=cz7lg11s6qfpc6xmh62ic3x55&amp;dl=0","Click to download Image")</f>
      </c>
      <c r="B4198" s="0">
        <f>HYPERLINK("https://dl.dropboxusercontent.com/scl/fi/trwocz9i0fqg57esizvij/womens-polo-size-chartselizabeth.jpg?rlkey=1nj69lubjtmq3k9lh2ky3qkl1&amp;dl=0","Click to download SizeChart")</f>
      </c>
      <c r="C4198" s="0" t="inlineStr">
        <is>
          <t>Elizabeth Women's Sleeveless Polo</t>
        </is>
      </c>
      <c r="D4198" s="1">
        <v>163215</v>
      </c>
      <c r="E4198" s="0" t="inlineStr">
        <is>
          <t>IOWA ELIZABETH W GY:163215C-L</t>
        </is>
      </c>
      <c r="F4198" s="2">
        <v>800163215064</v>
      </c>
      <c r="G4198" s="0" t="inlineStr">
        <is>
          <t>WOMENS</t>
        </is>
      </c>
      <c r="H4198" s="0" t="inlineStr">
        <is>
          <t>L</t>
        </is>
      </c>
      <c r="I4198" s="0">
        <v>39.99</v>
      </c>
      <c r="J4198" s="0">
        <v>25</v>
      </c>
    </row>
    <row r="4199" spans="1:10" customHeight="0">
      <c r="A4199" s="0">
        <f>HYPERLINK("https://dl.dropboxusercontent.com/scl/fi/d0f6ytzify0cxaz5xww1l/mock-163215-iowa-elizabeth-w-gy-v1-03.jpg?rlkey=cz7lg11s6qfpc6xmh62ic3x55&amp;dl=0","Click to download Image")</f>
      </c>
      <c r="B4199" s="0">
        <f>HYPERLINK("https://dl.dropboxusercontent.com/scl/fi/trwocz9i0fqg57esizvij/womens-polo-size-chartselizabeth.jpg?rlkey=1nj69lubjtmq3k9lh2ky3qkl1&amp;dl=0","Click to download SizeChart")</f>
      </c>
      <c r="C4199" s="0" t="inlineStr">
        <is>
          <t>Elizabeth Women's Sleeveless Polo</t>
        </is>
      </c>
      <c r="D4199" s="1">
        <v>163215</v>
      </c>
      <c r="E4199" s="0" t="inlineStr">
        <is>
          <t>IOWA ELIZABETH W GY:163215D-XL</t>
        </is>
      </c>
      <c r="F4199" s="2">
        <v>800163215071</v>
      </c>
      <c r="G4199" s="0" t="inlineStr">
        <is>
          <t>WOMENS</t>
        </is>
      </c>
      <c r="H4199" s="0" t="inlineStr">
        <is>
          <t>XL</t>
        </is>
      </c>
      <c r="I4199" s="0">
        <v>39.99</v>
      </c>
      <c r="J4199" s="0">
        <v>7</v>
      </c>
    </row>
    <row r="4200" spans="1:10" customHeight="0">
      <c r="A4200" s="0">
        <f>HYPERLINK("https://dl.dropboxusercontent.com/scl/fi/d0f6ytzify0cxaz5xww1l/mock-163215-iowa-elizabeth-w-gy-v1-03.jpg?rlkey=cz7lg11s6qfpc6xmh62ic3x55&amp;dl=0","Click to download Image")</f>
      </c>
      <c r="B4200" s="0">
        <f>HYPERLINK("https://dl.dropboxusercontent.com/scl/fi/trwocz9i0fqg57esizvij/womens-polo-size-chartselizabeth.jpg?rlkey=1nj69lubjtmq3k9lh2ky3qkl1&amp;dl=0","Click to download SizeChart")</f>
      </c>
      <c r="C4200" s="0" t="inlineStr">
        <is>
          <t>Elizabeth Women's Sleeveless Polo</t>
        </is>
      </c>
      <c r="D4200" s="1">
        <v>163215</v>
      </c>
      <c r="E4200" s="0" t="inlineStr">
        <is>
          <t>IOWA ELIZABETH W GY:163215E-2XL</t>
        </is>
      </c>
      <c r="F4200" s="2">
        <v>800163215088</v>
      </c>
      <c r="G4200" s="0" t="inlineStr">
        <is>
          <t>WOMENS</t>
        </is>
      </c>
      <c r="H4200" s="0" t="inlineStr">
        <is>
          <t>2XL</t>
        </is>
      </c>
      <c r="I4200" s="0">
        <v>39.99</v>
      </c>
      <c r="J4200" s="0">
        <v>5</v>
      </c>
    </row>
    <row r="4201" spans="1:10" customHeight="0">
      <c r="A4201" s="0">
        <f>HYPERLINK("https://dl.dropboxusercontent.com/scl/fi/d0f6ytzify0cxaz5xww1l/mock-163215-iowa-elizabeth-w-gy-v1-03.jpg?rlkey=cz7lg11s6qfpc6xmh62ic3x55&amp;dl=0","Click to download Image")</f>
      </c>
      <c r="B4201" s="0">
        <f>HYPERLINK("https://dl.dropboxusercontent.com/scl/fi/trwocz9i0fqg57esizvij/womens-polo-size-chartselizabeth.jpg?rlkey=1nj69lubjtmq3k9lh2ky3qkl1&amp;dl=0","Click to download SizeChart")</f>
      </c>
      <c r="C4201" s="0" t="inlineStr">
        <is>
          <t>Elizabeth Women's Sleeveless Polo</t>
        </is>
      </c>
      <c r="D4201" s="1">
        <v>163215</v>
      </c>
      <c r="E4201" s="0" t="inlineStr">
        <is>
          <t>IOWA ELIZABETH W GY:163215F-3XL</t>
        </is>
      </c>
      <c r="F4201" s="2">
        <v>800163215095</v>
      </c>
      <c r="G4201" s="0" t="inlineStr">
        <is>
          <t>WOMENS</t>
        </is>
      </c>
      <c r="H4201" s="0" t="inlineStr">
        <is>
          <t>3XL</t>
        </is>
      </c>
      <c r="I4201" s="0">
        <v>39.99</v>
      </c>
      <c r="J4201" s="0">
        <v>2</v>
      </c>
    </row>
    <row r="4202" spans="1:10" customHeight="0">
      <c r="A4202" s="0">
        <f>HYPERLINK("https://dl.dropboxusercontent.com/scl/fi/kexjxijfsgkmgycrd8sdt/vrtl-ioward-caitlin-w-bk-032326-v1-e2-02.jpg?rlkey=30jljqe43zh5cr797as38oqsc&amp;dl=0","Click to download Image")</f>
      </c>
      <c r="C4202" s="0" t="inlineStr">
        <is>
          <t>Caitlin Women's Bomber Jacket</t>
        </is>
      </c>
      <c r="D4202" s="1">
        <v>162720</v>
      </c>
      <c r="E4202" s="0" t="inlineStr">
        <is>
          <t>IOWA CAITLIN W BK:162720A-S</t>
        </is>
      </c>
      <c r="F4202" s="2">
        <v>800162720040</v>
      </c>
      <c r="G4202" s="0" t="inlineStr">
        <is>
          <t>WOMENS</t>
        </is>
      </c>
      <c r="H4202" s="0" t="inlineStr">
        <is>
          <t>S</t>
        </is>
      </c>
      <c r="I4202" s="0">
        <v>189.99</v>
      </c>
      <c r="J4202" s="0">
        <v>6</v>
      </c>
    </row>
    <row r="4203" spans="1:10" customHeight="0">
      <c r="A4203" s="0">
        <f>HYPERLINK("https://dl.dropboxusercontent.com/scl/fi/kexjxijfsgkmgycrd8sdt/vrtl-ioward-caitlin-w-bk-032326-v1-e2-02.jpg?rlkey=30jljqe43zh5cr797as38oqsc&amp;dl=0","Click to download Image")</f>
      </c>
      <c r="C4203" s="0" t="inlineStr">
        <is>
          <t>Caitlin Women's Bomber Jacket</t>
        </is>
      </c>
      <c r="D4203" s="1">
        <v>162720</v>
      </c>
      <c r="E4203" s="0" t="inlineStr">
        <is>
          <t>IOWA CAITLIN W BK:162720B-M</t>
        </is>
      </c>
      <c r="F4203" s="2">
        <v>800162720057</v>
      </c>
      <c r="G4203" s="0" t="inlineStr">
        <is>
          <t>WOMENS</t>
        </is>
      </c>
      <c r="H4203" s="0" t="inlineStr">
        <is>
          <t>M</t>
        </is>
      </c>
      <c r="I4203" s="0">
        <v>189.99</v>
      </c>
      <c r="J4203" s="0">
        <v>16</v>
      </c>
    </row>
    <row r="4204" spans="1:10" customHeight="0">
      <c r="A4204" s="0">
        <f>HYPERLINK("https://dl.dropboxusercontent.com/scl/fi/kexjxijfsgkmgycrd8sdt/vrtl-ioward-caitlin-w-bk-032326-v1-e2-02.jpg?rlkey=30jljqe43zh5cr797as38oqsc&amp;dl=0","Click to download Image")</f>
      </c>
      <c r="C4204" s="0" t="inlineStr">
        <is>
          <t>Caitlin Women's Bomber Jacket</t>
        </is>
      </c>
      <c r="D4204" s="1">
        <v>162720</v>
      </c>
      <c r="E4204" s="0" t="inlineStr">
        <is>
          <t>IOWA CAITLIN W BK:162720C-L</t>
        </is>
      </c>
      <c r="F4204" s="2">
        <v>800162720064</v>
      </c>
      <c r="G4204" s="0" t="inlineStr">
        <is>
          <t>WOMENS</t>
        </is>
      </c>
      <c r="H4204" s="0" t="inlineStr">
        <is>
          <t>L</t>
        </is>
      </c>
      <c r="I4204" s="0">
        <v>189.99</v>
      </c>
      <c r="J4204" s="0">
        <v>16</v>
      </c>
    </row>
    <row r="4205" spans="1:10" customHeight="0">
      <c r="A4205" s="0">
        <f>HYPERLINK("https://dl.dropboxusercontent.com/scl/fi/kexjxijfsgkmgycrd8sdt/vrtl-ioward-caitlin-w-bk-032326-v1-e2-02.jpg?rlkey=30jljqe43zh5cr797as38oqsc&amp;dl=0","Click to download Image")</f>
      </c>
      <c r="C4205" s="0" t="inlineStr">
        <is>
          <t>Caitlin Women's Bomber Jacket</t>
        </is>
      </c>
      <c r="D4205" s="1">
        <v>162720</v>
      </c>
      <c r="E4205" s="0" t="inlineStr">
        <is>
          <t>IOWA CAITLIN W BK:162720D-XL</t>
        </is>
      </c>
      <c r="F4205" s="2">
        <v>800162720071</v>
      </c>
      <c r="G4205" s="0" t="inlineStr">
        <is>
          <t>WOMENS</t>
        </is>
      </c>
      <c r="H4205" s="0" t="inlineStr">
        <is>
          <t>XL</t>
        </is>
      </c>
      <c r="I4205" s="0">
        <v>189.99</v>
      </c>
      <c r="J4205" s="0">
        <v>8</v>
      </c>
    </row>
    <row r="4206" spans="1:10" customHeight="0">
      <c r="A4206" s="0">
        <f>HYPERLINK("https://dl.dropboxusercontent.com/scl/fi/kexjxijfsgkmgycrd8sdt/vrtl-ioward-caitlin-w-bk-032326-v1-e2-02.jpg?rlkey=30jljqe43zh5cr797as38oqsc&amp;dl=0","Click to download Image")</f>
      </c>
      <c r="C4206" s="0" t="inlineStr">
        <is>
          <t>Caitlin Women's Bomber Jacket</t>
        </is>
      </c>
      <c r="D4206" s="1">
        <v>162720</v>
      </c>
      <c r="E4206" s="0" t="inlineStr">
        <is>
          <t>IOWA CAITLIN W BK:162720E-2XL</t>
        </is>
      </c>
      <c r="F4206" s="2">
        <v>800162720088</v>
      </c>
      <c r="G4206" s="0" t="inlineStr">
        <is>
          <t>WOMENS</t>
        </is>
      </c>
      <c r="H4206" s="0" t="inlineStr">
        <is>
          <t>2XL</t>
        </is>
      </c>
      <c r="I4206" s="0">
        <v>189.99</v>
      </c>
      <c r="J4206" s="0">
        <v>3</v>
      </c>
    </row>
    <row r="4207" spans="1:10" customHeight="0">
      <c r="A4207" s="0">
        <f>HYPERLINK("https://dl.dropboxusercontent.com/scl/fi/kexjxijfsgkmgycrd8sdt/vrtl-ioward-caitlin-w-bk-032326-v1-e2-02.jpg?rlkey=30jljqe43zh5cr797as38oqsc&amp;dl=0","Click to download Image")</f>
      </c>
      <c r="C4207" s="0" t="inlineStr">
        <is>
          <t>Caitlin Women's Bomber Jacket</t>
        </is>
      </c>
      <c r="D4207" s="1">
        <v>162720</v>
      </c>
      <c r="E4207" s="0" t="inlineStr">
        <is>
          <t>IOWA CAITLIN W BK:162720F-3XL</t>
        </is>
      </c>
      <c r="F4207" s="2">
        <v>800162720095</v>
      </c>
      <c r="G4207" s="0" t="inlineStr">
        <is>
          <t>WOMENS</t>
        </is>
      </c>
      <c r="H4207" s="0" t="inlineStr">
        <is>
          <t>3XL</t>
        </is>
      </c>
      <c r="I4207" s="0">
        <v>189.99</v>
      </c>
      <c r="J4207" s="0">
        <v>2</v>
      </c>
    </row>
    <row r="4208" spans="1:10" customHeight="0">
      <c r="A4208" s="0">
        <f>HYPERLINK("https://dl.dropboxusercontent.com/scl/fi/j5o3eqrre3h8pijj6vl8p/mock-iowa-amia-w-we-v1-02.jpg?rlkey=6fe18st9i30bslvu074ypxoxv&amp;dl=0","Click to download Image")</f>
      </c>
      <c r="B4208" s="0">
        <f>HYPERLINK("https://dl.dropboxusercontent.com/scl/fi/21l7053fzu39979uqh3ih/womens-short-sleeve-size-chartsamia.jpg?rlkey=wf9i6j4py13tud5qg4km8s3nf&amp;dl=0","Click to download SizeChart")</f>
      </c>
      <c r="C4208" s="0" t="inlineStr">
        <is>
          <t>Amia Women's Crop T-Shirt</t>
        </is>
      </c>
      <c r="D4208" s="1">
        <v>163878</v>
      </c>
      <c r="E4208" s="0" t="inlineStr">
        <is>
          <t>IOWA AMIA W WE:163878A-S</t>
        </is>
      </c>
      <c r="F4208" s="2">
        <v>800163878047</v>
      </c>
      <c r="G4208" s="0" t="inlineStr">
        <is>
          <t>WOMENS</t>
        </is>
      </c>
      <c r="H4208" s="0" t="inlineStr">
        <is>
          <t>S</t>
        </is>
      </c>
      <c r="I4208" s="0">
        <v>29.99</v>
      </c>
      <c r="J4208" s="0">
        <v>23</v>
      </c>
    </row>
    <row r="4209" spans="1:10" customHeight="0">
      <c r="A4209" s="0">
        <f>HYPERLINK("https://dl.dropboxusercontent.com/scl/fi/j5o3eqrre3h8pijj6vl8p/mock-iowa-amia-w-we-v1-02.jpg?rlkey=6fe18st9i30bslvu074ypxoxv&amp;dl=0","Click to download Image")</f>
      </c>
      <c r="B4209" s="0">
        <f>HYPERLINK("https://dl.dropboxusercontent.com/scl/fi/21l7053fzu39979uqh3ih/womens-short-sleeve-size-chartsamia.jpg?rlkey=wf9i6j4py13tud5qg4km8s3nf&amp;dl=0","Click to download SizeChart")</f>
      </c>
      <c r="C4209" s="0" t="inlineStr">
        <is>
          <t>Amia Women's Crop T-Shirt</t>
        </is>
      </c>
      <c r="D4209" s="1">
        <v>163878</v>
      </c>
      <c r="E4209" s="0" t="inlineStr">
        <is>
          <t>IOWA AMIA W WE:163878B-M</t>
        </is>
      </c>
      <c r="F4209" s="2">
        <v>800163878054</v>
      </c>
      <c r="G4209" s="0" t="inlineStr">
        <is>
          <t>WOMENS</t>
        </is>
      </c>
      <c r="H4209" s="0" t="inlineStr">
        <is>
          <t>M</t>
        </is>
      </c>
      <c r="I4209" s="0">
        <v>29.99</v>
      </c>
      <c r="J4209" s="0">
        <v>87</v>
      </c>
    </row>
    <row r="4210" spans="1:10" customHeight="0">
      <c r="A4210" s="0">
        <f>HYPERLINK("https://dl.dropboxusercontent.com/scl/fi/j5o3eqrre3h8pijj6vl8p/mock-iowa-amia-w-we-v1-02.jpg?rlkey=6fe18st9i30bslvu074ypxoxv&amp;dl=0","Click to download Image")</f>
      </c>
      <c r="B4210" s="0">
        <f>HYPERLINK("https://dl.dropboxusercontent.com/scl/fi/21l7053fzu39979uqh3ih/womens-short-sleeve-size-chartsamia.jpg?rlkey=wf9i6j4py13tud5qg4km8s3nf&amp;dl=0","Click to download SizeChart")</f>
      </c>
      <c r="C4210" s="0" t="inlineStr">
        <is>
          <t>Amia Women's Crop T-Shirt</t>
        </is>
      </c>
      <c r="D4210" s="1">
        <v>163878</v>
      </c>
      <c r="E4210" s="0" t="inlineStr">
        <is>
          <t>IOWA AMIA W WE:163878C-L</t>
        </is>
      </c>
      <c r="F4210" s="2">
        <v>800163878061</v>
      </c>
      <c r="G4210" s="0" t="inlineStr">
        <is>
          <t>WOMENS</t>
        </is>
      </c>
      <c r="H4210" s="0" t="inlineStr">
        <is>
          <t>L</t>
        </is>
      </c>
      <c r="I4210" s="0">
        <v>29.99</v>
      </c>
      <c r="J4210" s="0">
        <v>91</v>
      </c>
    </row>
    <row r="4211" spans="1:10" customHeight="0">
      <c r="A4211" s="0">
        <f>HYPERLINK("https://dl.dropboxusercontent.com/scl/fi/j5o3eqrre3h8pijj6vl8p/mock-iowa-amia-w-we-v1-02.jpg?rlkey=6fe18st9i30bslvu074ypxoxv&amp;dl=0","Click to download Image")</f>
      </c>
      <c r="B4211" s="0">
        <f>HYPERLINK("https://dl.dropboxusercontent.com/scl/fi/21l7053fzu39979uqh3ih/womens-short-sleeve-size-chartsamia.jpg?rlkey=wf9i6j4py13tud5qg4km8s3nf&amp;dl=0","Click to download SizeChart")</f>
      </c>
      <c r="C4211" s="0" t="inlineStr">
        <is>
          <t>Amia Women's Crop T-Shirt</t>
        </is>
      </c>
      <c r="D4211" s="1">
        <v>163878</v>
      </c>
      <c r="E4211" s="0" t="inlineStr">
        <is>
          <t>IOWA AMIA W WE:163878D-XL</t>
        </is>
      </c>
      <c r="F4211" s="2">
        <v>800163878078</v>
      </c>
      <c r="G4211" s="0" t="inlineStr">
        <is>
          <t>WOMENS</t>
        </is>
      </c>
      <c r="H4211" s="0" t="inlineStr">
        <is>
          <t>XL</t>
        </is>
      </c>
      <c r="I4211" s="0">
        <v>29.99</v>
      </c>
      <c r="J4211" s="0">
        <v>29</v>
      </c>
    </row>
    <row r="4212" spans="1:10" customHeight="0">
      <c r="A4212" s="0">
        <f>HYPERLINK("https://dl.dropboxusercontent.com/scl/fi/j5o3eqrre3h8pijj6vl8p/mock-iowa-amia-w-we-v1-02.jpg?rlkey=6fe18st9i30bslvu074ypxoxv&amp;dl=0","Click to download Image")</f>
      </c>
      <c r="B4212" s="0">
        <f>HYPERLINK("https://dl.dropboxusercontent.com/scl/fi/21l7053fzu39979uqh3ih/womens-short-sleeve-size-chartsamia.jpg?rlkey=wf9i6j4py13tud5qg4km8s3nf&amp;dl=0","Click to download SizeChart")</f>
      </c>
      <c r="C4212" s="0" t="inlineStr">
        <is>
          <t>Amia Women's Crop T-Shirt</t>
        </is>
      </c>
      <c r="D4212" s="1">
        <v>163878</v>
      </c>
      <c r="E4212" s="0" t="inlineStr">
        <is>
          <t>IOWA AMIA W WE:163878E-2XL</t>
        </is>
      </c>
      <c r="F4212" s="2">
        <v>800163878085</v>
      </c>
      <c r="G4212" s="0" t="inlineStr">
        <is>
          <t>WOMENS</t>
        </is>
      </c>
      <c r="H4212" s="0" t="inlineStr">
        <is>
          <t>2XL</t>
        </is>
      </c>
      <c r="I4212" s="0">
        <v>31.99</v>
      </c>
      <c r="J4212" s="0">
        <v>21</v>
      </c>
    </row>
    <row r="4213" spans="1:10" customHeight="0">
      <c r="A4213" s="0">
        <f>HYPERLINK("https://dl.dropboxusercontent.com/scl/fi/j5o3eqrre3h8pijj6vl8p/mock-iowa-amia-w-we-v1-02.jpg?rlkey=6fe18st9i30bslvu074ypxoxv&amp;dl=0","Click to download Image")</f>
      </c>
      <c r="B4213" s="0">
        <f>HYPERLINK("https://dl.dropboxusercontent.com/scl/fi/21l7053fzu39979uqh3ih/womens-short-sleeve-size-chartsamia.jpg?rlkey=wf9i6j4py13tud5qg4km8s3nf&amp;dl=0","Click to download SizeChart")</f>
      </c>
      <c r="C4213" s="0" t="inlineStr">
        <is>
          <t>Amia Women's Crop T-Shirt</t>
        </is>
      </c>
      <c r="D4213" s="1">
        <v>163878</v>
      </c>
      <c r="E4213" s="0" t="inlineStr">
        <is>
          <t>IOWA AMIA W WE:163878F-3XL</t>
        </is>
      </c>
      <c r="F4213" s="2">
        <v>800163878092</v>
      </c>
      <c r="G4213" s="0" t="inlineStr">
        <is>
          <t>WOMENS</t>
        </is>
      </c>
      <c r="H4213" s="0" t="inlineStr">
        <is>
          <t>3XL</t>
        </is>
      </c>
      <c r="I4213" s="0">
        <v>31.99</v>
      </c>
      <c r="J4213" s="0">
        <v>12</v>
      </c>
    </row>
    <row r="4214" spans="1:10" customHeight="0">
      <c r="A4214" s="0">
        <f>HYPERLINK("https://dl.dropboxusercontent.com/scl/fi/4r1b1yw979urdhuydk048/mock-iowa-amia-w-we-v2-02.jpg?rlkey=2dru6hbun35blp0wteqfoguvb&amp;dl=0","Click to download Image")</f>
      </c>
      <c r="B4214" s="0">
        <f>HYPERLINK("https://dl.dropboxusercontent.com/scl/fi/21l7053fzu39979uqh3ih/womens-short-sleeve-size-chartsamia.jpg?rlkey=wf9i6j4py13tud5qg4km8s3nf&amp;dl=0","Click to download SizeChart")</f>
      </c>
      <c r="C4214" s="0" t="inlineStr">
        <is>
          <t>Amia Women's Crop T-Shirt</t>
        </is>
      </c>
      <c r="D4214" s="1">
        <v>163884</v>
      </c>
      <c r="E4214" s="0" t="inlineStr">
        <is>
          <t>IOWA AMIA W WE:163884A-S</t>
        </is>
      </c>
      <c r="F4214" s="2">
        <v>800163884048</v>
      </c>
      <c r="G4214" s="0" t="inlineStr">
        <is>
          <t>WOMENS</t>
        </is>
      </c>
      <c r="H4214" s="0" t="inlineStr">
        <is>
          <t>S</t>
        </is>
      </c>
      <c r="I4214" s="0">
        <v>29.99</v>
      </c>
      <c r="J4214" s="0">
        <v>13</v>
      </c>
    </row>
    <row r="4215" spans="1:10" customHeight="0">
      <c r="A4215" s="0">
        <f>HYPERLINK("https://dl.dropboxusercontent.com/scl/fi/4r1b1yw979urdhuydk048/mock-iowa-amia-w-we-v2-02.jpg?rlkey=2dru6hbun35blp0wteqfoguvb&amp;dl=0","Click to download Image")</f>
      </c>
      <c r="B4215" s="0">
        <f>HYPERLINK("https://dl.dropboxusercontent.com/scl/fi/21l7053fzu39979uqh3ih/womens-short-sleeve-size-chartsamia.jpg?rlkey=wf9i6j4py13tud5qg4km8s3nf&amp;dl=0","Click to download SizeChart")</f>
      </c>
      <c r="C4215" s="0" t="inlineStr">
        <is>
          <t>Amia Women's Crop T-Shirt</t>
        </is>
      </c>
      <c r="D4215" s="1">
        <v>163884</v>
      </c>
      <c r="E4215" s="0" t="inlineStr">
        <is>
          <t>IOWA AMIA W WE:163884B-M</t>
        </is>
      </c>
      <c r="F4215" s="2">
        <v>800163884055</v>
      </c>
      <c r="G4215" s="0" t="inlineStr">
        <is>
          <t>WOMENS</t>
        </is>
      </c>
      <c r="H4215" s="0" t="inlineStr">
        <is>
          <t>M</t>
        </is>
      </c>
      <c r="I4215" s="0">
        <v>29.99</v>
      </c>
      <c r="J4215" s="0">
        <v>13</v>
      </c>
    </row>
    <row r="4216" spans="1:10" customHeight="0">
      <c r="A4216" s="0">
        <f>HYPERLINK("https://dl.dropboxusercontent.com/scl/fi/4r1b1yw979urdhuydk048/mock-iowa-amia-w-we-v2-02.jpg?rlkey=2dru6hbun35blp0wteqfoguvb&amp;dl=0","Click to download Image")</f>
      </c>
      <c r="B4216" s="0">
        <f>HYPERLINK("https://dl.dropboxusercontent.com/scl/fi/21l7053fzu39979uqh3ih/womens-short-sleeve-size-chartsamia.jpg?rlkey=wf9i6j4py13tud5qg4km8s3nf&amp;dl=0","Click to download SizeChart")</f>
      </c>
      <c r="C4216" s="0" t="inlineStr">
        <is>
          <t>Amia Women's Crop T-Shirt</t>
        </is>
      </c>
      <c r="D4216" s="1">
        <v>163884</v>
      </c>
      <c r="E4216" s="0" t="inlineStr">
        <is>
          <t>IOWA AMIA W WE:163884C-L</t>
        </is>
      </c>
      <c r="F4216" s="2">
        <v>800163884062</v>
      </c>
      <c r="G4216" s="0" t="inlineStr">
        <is>
          <t>WOMENS</t>
        </is>
      </c>
      <c r="H4216" s="0" t="inlineStr">
        <is>
          <t>L</t>
        </is>
      </c>
      <c r="I4216" s="0">
        <v>29.99</v>
      </c>
      <c r="J4216" s="0">
        <v>13</v>
      </c>
    </row>
    <row r="4217" spans="1:10" customHeight="0">
      <c r="A4217" s="0">
        <f>HYPERLINK("https://dl.dropboxusercontent.com/scl/fi/4r1b1yw979urdhuydk048/mock-iowa-amia-w-we-v2-02.jpg?rlkey=2dru6hbun35blp0wteqfoguvb&amp;dl=0","Click to download Image")</f>
      </c>
      <c r="B4217" s="0">
        <f>HYPERLINK("https://dl.dropboxusercontent.com/scl/fi/21l7053fzu39979uqh3ih/womens-short-sleeve-size-chartsamia.jpg?rlkey=wf9i6j4py13tud5qg4km8s3nf&amp;dl=0","Click to download SizeChart")</f>
      </c>
      <c r="C4217" s="0" t="inlineStr">
        <is>
          <t>Amia Women's Crop T-Shirt</t>
        </is>
      </c>
      <c r="D4217" s="1">
        <v>163884</v>
      </c>
      <c r="E4217" s="0" t="inlineStr">
        <is>
          <t>IOWA AMIA W WE:163884D-XL</t>
        </is>
      </c>
      <c r="F4217" s="2">
        <v>800163884079</v>
      </c>
      <c r="G4217" s="0" t="inlineStr">
        <is>
          <t>WOMENS</t>
        </is>
      </c>
      <c r="H4217" s="0" t="inlineStr">
        <is>
          <t>XL</t>
        </is>
      </c>
      <c r="I4217" s="0">
        <v>29.99</v>
      </c>
      <c r="J4217" s="0">
        <v>13</v>
      </c>
    </row>
    <row r="4218" spans="1:10" customHeight="0">
      <c r="A4218" s="0">
        <f>HYPERLINK("https://dl.dropboxusercontent.com/scl/fi/4r1b1yw979urdhuydk048/mock-iowa-amia-w-we-v2-02.jpg?rlkey=2dru6hbun35blp0wteqfoguvb&amp;dl=0","Click to download Image")</f>
      </c>
      <c r="B4218" s="0">
        <f>HYPERLINK("https://dl.dropboxusercontent.com/scl/fi/21l7053fzu39979uqh3ih/womens-short-sleeve-size-chartsamia.jpg?rlkey=wf9i6j4py13tud5qg4km8s3nf&amp;dl=0","Click to download SizeChart")</f>
      </c>
      <c r="C4218" s="0" t="inlineStr">
        <is>
          <t>Amia Women's Crop T-Shirt</t>
        </is>
      </c>
      <c r="D4218" s="1">
        <v>163884</v>
      </c>
      <c r="E4218" s="0" t="inlineStr">
        <is>
          <t>IOWA AMIA W WE:163884E-2XL</t>
        </is>
      </c>
      <c r="F4218" s="2">
        <v>800163884086</v>
      </c>
      <c r="G4218" s="0" t="inlineStr">
        <is>
          <t>WOMENS</t>
        </is>
      </c>
      <c r="H4218" s="0" t="inlineStr">
        <is>
          <t>2XL</t>
        </is>
      </c>
      <c r="I4218" s="0">
        <v>31.99</v>
      </c>
      <c r="J4218" s="0">
        <v>13</v>
      </c>
    </row>
    <row r="4219" spans="1:10" customHeight="0">
      <c r="A4219" s="0">
        <f>HYPERLINK("https://dl.dropboxusercontent.com/scl/fi/4r1b1yw979urdhuydk048/mock-iowa-amia-w-we-v2-02.jpg?rlkey=2dru6hbun35blp0wteqfoguvb&amp;dl=0","Click to download Image")</f>
      </c>
      <c r="B4219" s="0">
        <f>HYPERLINK("https://dl.dropboxusercontent.com/scl/fi/21l7053fzu39979uqh3ih/womens-short-sleeve-size-chartsamia.jpg?rlkey=wf9i6j4py13tud5qg4km8s3nf&amp;dl=0","Click to download SizeChart")</f>
      </c>
      <c r="C4219" s="0" t="inlineStr">
        <is>
          <t>Amia Women's Crop T-Shirt</t>
        </is>
      </c>
      <c r="D4219" s="1">
        <v>163884</v>
      </c>
      <c r="E4219" s="0" t="inlineStr">
        <is>
          <t>IOWA AMIA W WE:163884F-3XL</t>
        </is>
      </c>
      <c r="F4219" s="2">
        <v>800163884093</v>
      </c>
      <c r="G4219" s="0" t="inlineStr">
        <is>
          <t>WOMENS</t>
        </is>
      </c>
      <c r="H4219" s="0" t="inlineStr">
        <is>
          <t>3XL</t>
        </is>
      </c>
      <c r="I4219" s="0">
        <v>31.99</v>
      </c>
      <c r="J4219" s="0">
        <v>12</v>
      </c>
    </row>
    <row r="4220" spans="1:10" customHeight="0">
      <c r="A4220" s="0">
        <f>HYPERLINK("https://dl.dropboxusercontent.com/scl/fi/f275264ztwfq79r5a65si/163613-iowa-harbor-t.jpg?rlkey=mmvysbc0ci1t3okp9izy45c52&amp;dl=0","Click to download Image")</f>
      </c>
      <c r="C4220" s="0" t="inlineStr">
        <is>
          <t>Harbor Cuffed Adult Beanie</t>
        </is>
      </c>
      <c r="D4220" s="1">
        <v>163613</v>
      </c>
      <c r="E4220" s="0" t="inlineStr">
        <is>
          <t>IOWA HARBOR A:163613</t>
        </is>
      </c>
      <c r="F4220" s="2">
        <v>700163613016</v>
      </c>
      <c r="G4220" s="0" t="inlineStr">
        <is>
          <t>MENS</t>
        </is>
      </c>
      <c r="H4220" s="0" t="inlineStr">
        <is>
          <t>OSFM</t>
        </is>
      </c>
      <c r="I4220" s="0">
        <v>29.99</v>
      </c>
      <c r="J4220" s="0">
        <v>138</v>
      </c>
    </row>
    <row r="4221" spans="1:10" customHeight="0">
      <c r="A4221" s="0">
        <f>HYPERLINK("https://dl.dropboxusercontent.com/scl/fi/sf4oj7hr158om30wgswav/assorted-flint-thumbnails2.jpg?rlkey=z2nxz51f1yz87mrawt3s5l4fq&amp;dl=0","Click to download Image")</f>
      </c>
      <c r="C4221" s="0" t="inlineStr">
        <is>
          <t>Assorted Flint 1/4 Zip Pullover</t>
        </is>
      </c>
      <c r="D4221" s="1">
        <v>6932</v>
      </c>
      <c r="E4221" s="0" t="inlineStr">
        <is>
          <t>IOWA FLINT MENS</t>
        </is>
      </c>
      <c r="I4221" s="0">
        <v>720</v>
      </c>
      <c r="J4221" s="0">
        <v>0</v>
      </c>
    </row>
    <row r="4222" spans="1:10" customHeight="0">
      <c r="A4222" s="0">
        <f>HYPERLINK("https://dl.dropboxusercontent.com/scl/fi/sf4oj7hr158om30wgswav/assorted-flint-thumbnails2.jpg?rlkey=z2nxz51f1yz87mrawt3s5l4fq&amp;dl=0","Click to download Image")</f>
      </c>
      <c r="C4222" s="0" t="inlineStr">
        <is>
          <t>Assorted Flint 1/4 Zip Pullover</t>
        </is>
      </c>
      <c r="D4222" s="1">
        <v>6932</v>
      </c>
      <c r="E4222" s="0" t="inlineStr">
        <is>
          <t>IOWA FLINT WOMENS</t>
        </is>
      </c>
      <c r="I4222" s="0">
        <v>720</v>
      </c>
      <c r="J422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2026-09-23T02:30:31-05:00</dcterms:created>
  <dcterms:modified xsi:type="dcterms:W3CDTF">2026-09-23T02:30:31-05:00</dcterms:modified>
  <cp:revision>0</cp:revision>
</cp:coreProperties>
</file>